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g-dt-cco\ADM LOCAL_CANTEIRO_MOB_DESMOB_OUTUBRO_2024_Modelos\"/>
    </mc:Choice>
  </mc:AlternateContent>
  <xr:revisionPtr revIDLastSave="0" documentId="13_ncr:1_{F7E08122-F981-489A-9A93-8B0BD273855E}" xr6:coauthVersionLast="36" xr6:coauthVersionMax="36" xr10:uidLastSave="{00000000-0000-0000-0000-000000000000}"/>
  <bookViews>
    <workbookView xWindow="-21720" yWindow="-2160" windowWidth="21840" windowHeight="13140" xr2:uid="{00000000-000D-0000-FFFF-FFFF00000000}"/>
  </bookViews>
  <sheets>
    <sheet name="CO" sheetId="4" r:id="rId1"/>
    <sheet name="Fator" sheetId="5" r:id="rId2"/>
    <sheet name="Dimensionamento" sheetId="6" r:id="rId3"/>
    <sheet name="Cotações regionais" sheetId="7" r:id="rId4"/>
  </sheets>
  <definedNames>
    <definedName name="_xlnm.Print_Area" localSheetId="0">CO!$A$1:$W$76</definedName>
  </definedNames>
  <calcPr calcId="191029" iterateDelta="1E-4"/>
</workbook>
</file>

<file path=xl/calcChain.xml><?xml version="1.0" encoding="utf-8"?>
<calcChain xmlns="http://schemas.openxmlformats.org/spreadsheetml/2006/main">
  <c r="O22" i="4" l="1"/>
  <c r="O21" i="4"/>
  <c r="O19" i="4"/>
  <c r="O13" i="4"/>
  <c r="O11" i="4"/>
  <c r="F52" i="4" l="1"/>
  <c r="I204" i="7" l="1"/>
  <c r="I163" i="7"/>
  <c r="I140" i="7"/>
  <c r="I77" i="7"/>
  <c r="I106" i="7"/>
  <c r="I83" i="7"/>
  <c r="I82" i="7"/>
  <c r="I184" i="7"/>
  <c r="I183" i="7"/>
  <c r="I172" i="7"/>
  <c r="I171" i="7"/>
  <c r="I182" i="7" l="1"/>
  <c r="I177" i="7"/>
  <c r="I166" i="7" l="1"/>
  <c r="I165" i="7"/>
  <c r="I200" i="7"/>
  <c r="I189" i="7"/>
  <c r="F163" i="7"/>
  <c r="I149" i="7"/>
  <c r="I134" i="7" l="1"/>
  <c r="I132" i="7"/>
  <c r="I131" i="7"/>
  <c r="F42" i="4" l="1"/>
  <c r="F35" i="4"/>
  <c r="G211" i="7"/>
  <c r="F25" i="4"/>
  <c r="F34" i="4" l="1"/>
  <c r="F50" i="4"/>
  <c r="D13" i="5" l="1"/>
  <c r="H212" i="7" l="1"/>
  <c r="H213" i="7"/>
  <c r="H211" i="7"/>
  <c r="G213" i="7" l="1"/>
  <c r="G212" i="7"/>
  <c r="F204" i="7"/>
  <c r="I199" i="7"/>
  <c r="I198" i="7"/>
  <c r="I197" i="7"/>
  <c r="I195" i="7"/>
  <c r="I192" i="7"/>
  <c r="I191" i="7"/>
  <c r="I190" i="7"/>
  <c r="I186" i="7"/>
  <c r="I181" i="7"/>
  <c r="I180" i="7"/>
  <c r="I170" i="7"/>
  <c r="I169" i="7"/>
  <c r="I168" i="7"/>
  <c r="I167" i="7"/>
  <c r="I161" i="7"/>
  <c r="I160" i="7"/>
  <c r="I159" i="7"/>
  <c r="I158" i="7"/>
  <c r="I157" i="7"/>
  <c r="I156" i="7"/>
  <c r="I155" i="7"/>
  <c r="I153" i="7"/>
  <c r="I152" i="7"/>
  <c r="I151" i="7"/>
  <c r="I148" i="7"/>
  <c r="I147" i="7"/>
  <c r="I146" i="7"/>
  <c r="I145" i="7"/>
  <c r="I144" i="7"/>
  <c r="I143" i="7"/>
  <c r="I142" i="7"/>
  <c r="F140" i="7"/>
  <c r="I113" i="7"/>
  <c r="I112" i="7"/>
  <c r="I111" i="7"/>
  <c r="I110" i="7"/>
  <c r="I109" i="7"/>
  <c r="I108" i="7"/>
  <c r="F106" i="7"/>
  <c r="I103" i="7"/>
  <c r="I92" i="7"/>
  <c r="I88" i="7"/>
  <c r="I87" i="7"/>
  <c r="I86" i="7"/>
  <c r="I85" i="7"/>
  <c r="I84" i="7"/>
  <c r="I81" i="7"/>
  <c r="I80" i="7"/>
  <c r="I79" i="7"/>
  <c r="F77" i="7"/>
  <c r="I74" i="7"/>
  <c r="I73" i="7"/>
  <c r="I72" i="7"/>
  <c r="I69" i="7"/>
  <c r="I66" i="7"/>
  <c r="I65" i="7"/>
  <c r="I63" i="7"/>
  <c r="I62" i="7"/>
  <c r="I60" i="7"/>
  <c r="I59" i="7"/>
  <c r="I58" i="7"/>
  <c r="I52" i="7"/>
  <c r="I51" i="7"/>
  <c r="I50" i="7"/>
  <c r="I49" i="7"/>
  <c r="I48" i="7"/>
  <c r="I46" i="7"/>
  <c r="I44" i="7"/>
  <c r="I38" i="7"/>
  <c r="I35" i="7"/>
  <c r="I34" i="7"/>
  <c r="I33" i="7"/>
  <c r="I31" i="7"/>
  <c r="I30" i="7"/>
  <c r="I29" i="7"/>
  <c r="I27" i="7"/>
  <c r="I26" i="7"/>
  <c r="I25" i="7"/>
  <c r="I24" i="7"/>
  <c r="I23" i="7"/>
  <c r="I22" i="7"/>
  <c r="I20" i="7"/>
  <c r="I19" i="7"/>
  <c r="I18" i="7"/>
  <c r="I17" i="7"/>
  <c r="I9" i="7"/>
  <c r="I8" i="7"/>
  <c r="I7" i="7"/>
  <c r="I6" i="7"/>
  <c r="I5" i="7"/>
  <c r="I4" i="7"/>
  <c r="F207" i="7" l="1"/>
  <c r="F208" i="7" s="1"/>
  <c r="I164" i="7"/>
  <c r="I205" i="7"/>
  <c r="I107" i="7"/>
  <c r="I78" i="7"/>
  <c r="F59" i="4" s="1"/>
  <c r="I141" i="7"/>
  <c r="F205" i="7"/>
  <c r="F141" i="7"/>
  <c r="F164" i="7"/>
  <c r="F78" i="7"/>
  <c r="F107" i="7"/>
  <c r="F29" i="4" l="1"/>
  <c r="F26" i="4"/>
  <c r="I207" i="7"/>
  <c r="I208" i="7" s="1"/>
  <c r="S48" i="4" l="1"/>
  <c r="U48" i="4" l="1"/>
  <c r="U47" i="4"/>
  <c r="M48" i="4"/>
  <c r="M47" i="4"/>
  <c r="E38" i="4"/>
  <c r="F38" i="4" s="1"/>
  <c r="U50" i="4" l="1"/>
  <c r="M50" i="4"/>
  <c r="K50" i="4"/>
  <c r="U49" i="4"/>
  <c r="S49" i="4"/>
  <c r="Q49" i="4"/>
  <c r="U46" i="4"/>
  <c r="U45" i="4"/>
  <c r="U44" i="4"/>
  <c r="S44" i="4"/>
  <c r="U43" i="4"/>
  <c r="S43" i="4"/>
  <c r="U42" i="4"/>
  <c r="U41" i="4"/>
  <c r="U40" i="4"/>
  <c r="S40" i="4"/>
  <c r="Q40" i="4"/>
  <c r="K40" i="4"/>
  <c r="U39" i="4"/>
  <c r="U24" i="4"/>
  <c r="M33" i="4"/>
  <c r="K33" i="4"/>
  <c r="I33" i="4"/>
  <c r="U32" i="4"/>
  <c r="S33" i="4"/>
  <c r="Q33" i="4"/>
  <c r="M45" i="4"/>
  <c r="K45" i="4"/>
  <c r="M44" i="4"/>
  <c r="K44" i="4"/>
  <c r="M43" i="4"/>
  <c r="K43" i="4"/>
  <c r="M41" i="4"/>
  <c r="K41" i="4"/>
  <c r="M39" i="4"/>
  <c r="K39" i="4"/>
  <c r="M32" i="4"/>
  <c r="K32" i="4"/>
  <c r="K24" i="4"/>
  <c r="M24" i="4"/>
  <c r="I51" i="4"/>
  <c r="I44" i="4"/>
  <c r="I43" i="4"/>
  <c r="I40" i="4"/>
  <c r="I31" i="4"/>
  <c r="J31" i="4" s="1"/>
  <c r="H2" i="6"/>
  <c r="H9" i="6" s="1"/>
  <c r="G40" i="4"/>
  <c r="G46" i="4"/>
  <c r="G51" i="4"/>
  <c r="G45" i="4"/>
  <c r="G44" i="4"/>
  <c r="G43" i="4"/>
  <c r="G42" i="4"/>
  <c r="I24" i="4"/>
  <c r="V42" i="4" l="1"/>
  <c r="D26" i="6"/>
  <c r="D24" i="6"/>
  <c r="D21" i="6"/>
  <c r="D19" i="6"/>
  <c r="D17" i="6"/>
  <c r="G25" i="4" l="1"/>
  <c r="H25" i="4" s="1"/>
  <c r="G11" i="4"/>
  <c r="G17" i="4" s="1"/>
  <c r="G15" i="4" l="1"/>
  <c r="G16" i="4"/>
  <c r="D12" i="5" l="1"/>
  <c r="D11" i="5"/>
  <c r="D9" i="5"/>
  <c r="D8" i="5"/>
  <c r="D7" i="5"/>
  <c r="D6" i="5"/>
  <c r="D5" i="5"/>
  <c r="D4" i="5"/>
  <c r="D3" i="5"/>
  <c r="D2" i="5"/>
  <c r="C10" i="5"/>
  <c r="D10" i="5" s="1"/>
  <c r="P20" i="4" l="1"/>
  <c r="J52" i="4" l="1"/>
  <c r="D4" i="4" l="1"/>
  <c r="U26" i="4" l="1"/>
  <c r="S42" i="4"/>
  <c r="S25" i="4"/>
  <c r="Q42" i="4"/>
  <c r="Q25" i="4"/>
  <c r="M49" i="4"/>
  <c r="M46" i="4"/>
  <c r="M26" i="4"/>
  <c r="O59" i="4"/>
  <c r="M59" i="4"/>
  <c r="K59" i="4"/>
  <c r="K49" i="4"/>
  <c r="K46" i="4"/>
  <c r="K26" i="4"/>
  <c r="I59" i="4"/>
  <c r="I49" i="4"/>
  <c r="I46" i="4"/>
  <c r="I42" i="4"/>
  <c r="I26" i="4"/>
  <c r="I25" i="4"/>
  <c r="G59" i="4"/>
  <c r="G49" i="4"/>
  <c r="V26" i="4" l="1"/>
  <c r="P28" i="4" l="1"/>
  <c r="G19" i="4" l="1"/>
  <c r="H19" i="4" s="1"/>
  <c r="F8" i="6"/>
  <c r="E30" i="4" l="1"/>
  <c r="F30" i="4" s="1"/>
  <c r="E27" i="4"/>
  <c r="F27" i="4" s="1"/>
  <c r="E32" i="4"/>
  <c r="F32" i="4" s="1"/>
  <c r="E34" i="4"/>
  <c r="E36" i="4"/>
  <c r="F36" i="4" s="1"/>
  <c r="E39" i="4"/>
  <c r="E41" i="4"/>
  <c r="F41" i="4" s="1"/>
  <c r="E48" i="4"/>
  <c r="F48" i="4" s="1"/>
  <c r="E50" i="4"/>
  <c r="E56" i="4"/>
  <c r="E57" i="4"/>
  <c r="E58" i="4"/>
  <c r="E24" i="4"/>
  <c r="F24" i="4" s="1"/>
  <c r="Q13" i="4"/>
  <c r="U11" i="4"/>
  <c r="S11" i="4"/>
  <c r="Q11" i="4"/>
  <c r="M11" i="4"/>
  <c r="K11" i="4"/>
  <c r="I11" i="4"/>
  <c r="S46" i="4"/>
  <c r="U21" i="4"/>
  <c r="V21" i="4" s="1"/>
  <c r="U20" i="4"/>
  <c r="V20" i="4" s="1"/>
  <c r="U19" i="4"/>
  <c r="V19" i="4" s="1"/>
  <c r="M21" i="4"/>
  <c r="N21" i="4" s="1"/>
  <c r="M20" i="4"/>
  <c r="N20" i="4" s="1"/>
  <c r="M19" i="4"/>
  <c r="N19" i="4" s="1"/>
  <c r="K19" i="4"/>
  <c r="L19" i="4" s="1"/>
  <c r="K21" i="4"/>
  <c r="L21" i="4" s="1"/>
  <c r="K20" i="4"/>
  <c r="L20" i="4" s="1"/>
  <c r="V29" i="4"/>
  <c r="T29" i="4"/>
  <c r="R29" i="4"/>
  <c r="P29" i="4"/>
  <c r="N29" i="4"/>
  <c r="L29" i="4"/>
  <c r="J29" i="4"/>
  <c r="S21" i="4"/>
  <c r="T21" i="4" s="1"/>
  <c r="S20" i="4"/>
  <c r="T20" i="4" s="1"/>
  <c r="S19" i="4"/>
  <c r="T19" i="4" s="1"/>
  <c r="Q21" i="4"/>
  <c r="R21" i="4" s="1"/>
  <c r="Q20" i="4"/>
  <c r="R20" i="4" s="1"/>
  <c r="Q19" i="4"/>
  <c r="R19" i="4" s="1"/>
  <c r="P21" i="4"/>
  <c r="P19" i="4"/>
  <c r="I21" i="4"/>
  <c r="J21" i="4" s="1"/>
  <c r="I20" i="4"/>
  <c r="J20" i="4" s="1"/>
  <c r="I19" i="4"/>
  <c r="J19" i="4" s="1"/>
  <c r="G21" i="4"/>
  <c r="H21" i="4" s="1"/>
  <c r="G20" i="4"/>
  <c r="H20" i="4" s="1"/>
  <c r="S13" i="4"/>
  <c r="G13" i="4"/>
  <c r="U59" i="4"/>
  <c r="S59" i="4"/>
  <c r="Q59" i="4"/>
  <c r="U13" i="4"/>
  <c r="M13" i="4"/>
  <c r="K13" i="4"/>
  <c r="I13" i="4"/>
  <c r="F39" i="4" l="1"/>
  <c r="V39" i="4" s="1"/>
  <c r="H59" i="4"/>
  <c r="P59" i="4"/>
  <c r="Q35" i="4"/>
  <c r="K35" i="4"/>
  <c r="L35" i="4" s="1"/>
  <c r="I35" i="4"/>
  <c r="J35" i="4" s="1"/>
  <c r="U35" i="4"/>
  <c r="V35" i="4" s="1"/>
  <c r="M35" i="4"/>
  <c r="N35" i="4" s="1"/>
  <c r="H41" i="4"/>
  <c r="V41" i="4"/>
  <c r="L32" i="4"/>
  <c r="N32" i="4"/>
  <c r="G35" i="4"/>
  <c r="H35" i="4" s="1"/>
  <c r="H24" i="4"/>
  <c r="S35" i="4"/>
  <c r="E47" i="4"/>
  <c r="F47" i="4" s="1"/>
  <c r="H28" i="4"/>
  <c r="J28" i="4"/>
  <c r="R28" i="4"/>
  <c r="L31" i="4"/>
  <c r="T31" i="4"/>
  <c r="L26" i="4"/>
  <c r="R31" i="4"/>
  <c r="L28" i="4"/>
  <c r="T28" i="4"/>
  <c r="N31" i="4"/>
  <c r="V31" i="4"/>
  <c r="N27" i="4"/>
  <c r="N28" i="4"/>
  <c r="V28" i="4"/>
  <c r="H31" i="4"/>
  <c r="P31" i="4"/>
  <c r="J27" i="4"/>
  <c r="H26" i="4"/>
  <c r="R26" i="4"/>
  <c r="T26" i="4"/>
  <c r="N26" i="4"/>
  <c r="J26" i="4"/>
  <c r="P26" i="4"/>
  <c r="V27" i="4"/>
  <c r="H27" i="4"/>
  <c r="L27" i="4"/>
  <c r="R27" i="4"/>
  <c r="T27" i="4"/>
  <c r="P27" i="4"/>
  <c r="C9" i="6"/>
  <c r="F9" i="6" s="1"/>
  <c r="U22" i="4"/>
  <c r="F5" i="6"/>
  <c r="F4" i="6"/>
  <c r="F6" i="6"/>
  <c r="F3" i="6"/>
  <c r="F10" i="6"/>
  <c r="M34" i="4" s="1"/>
  <c r="F11" i="6"/>
  <c r="M38" i="4" s="1"/>
  <c r="N38" i="4" s="1"/>
  <c r="F12" i="6"/>
  <c r="F13" i="6"/>
  <c r="I30" i="4" l="1"/>
  <c r="S38" i="4"/>
  <c r="T38" i="4" s="1"/>
  <c r="M30" i="4"/>
  <c r="U30" i="4"/>
  <c r="I34" i="4"/>
  <c r="K34" i="4"/>
  <c r="K38" i="4"/>
  <c r="L38" i="4" s="1"/>
  <c r="U34" i="4"/>
  <c r="U38" i="4"/>
  <c r="V38" i="4" s="1"/>
  <c r="K30" i="4"/>
  <c r="F7" i="6"/>
  <c r="F14" i="6"/>
  <c r="I37" i="4" l="1"/>
  <c r="U37" i="4"/>
  <c r="Q37" i="4"/>
  <c r="K37" i="4"/>
  <c r="M37" i="4"/>
  <c r="S37" i="4"/>
  <c r="G37" i="4"/>
  <c r="H37" i="4" s="1"/>
  <c r="N41" i="4"/>
  <c r="L41" i="4"/>
  <c r="T41" i="4"/>
  <c r="R41" i="4"/>
  <c r="P41" i="4"/>
  <c r="J41" i="4"/>
  <c r="V22" i="4"/>
  <c r="S22" i="4"/>
  <c r="T22" i="4" s="1"/>
  <c r="Q22" i="4"/>
  <c r="R22" i="4" s="1"/>
  <c r="P22" i="4"/>
  <c r="M22" i="4"/>
  <c r="N22" i="4" s="1"/>
  <c r="K22" i="4"/>
  <c r="L22" i="4" s="1"/>
  <c r="I22" i="4"/>
  <c r="J22" i="4" s="1"/>
  <c r="G22" i="4"/>
  <c r="H22" i="4" s="1"/>
  <c r="P24" i="4" l="1"/>
  <c r="P30" i="4"/>
  <c r="P32" i="4"/>
  <c r="P34" i="4"/>
  <c r="P36" i="4"/>
  <c r="P39" i="4"/>
  <c r="P47" i="4"/>
  <c r="P48" i="4"/>
  <c r="P50" i="4"/>
  <c r="P55" i="4"/>
  <c r="P56" i="4"/>
  <c r="P57" i="4"/>
  <c r="P58" i="4"/>
  <c r="H16" i="4" l="1"/>
  <c r="I15" i="4"/>
  <c r="J15" i="4" s="1"/>
  <c r="K15" i="4"/>
  <c r="L15" i="4" s="1"/>
  <c r="M15" i="4"/>
  <c r="N15" i="4" s="1"/>
  <c r="O15" i="4"/>
  <c r="Q15" i="4"/>
  <c r="R15" i="4" s="1"/>
  <c r="S15" i="4"/>
  <c r="T15" i="4" s="1"/>
  <c r="U15" i="4"/>
  <c r="V15" i="4" s="1"/>
  <c r="H15" i="4"/>
  <c r="O16" i="4"/>
  <c r="H17" i="4"/>
  <c r="R52" i="4"/>
  <c r="V52" i="4"/>
  <c r="T52" i="4"/>
  <c r="T59" i="4"/>
  <c r="T58" i="4"/>
  <c r="T57" i="4"/>
  <c r="T56" i="4"/>
  <c r="T55" i="4"/>
  <c r="T54" i="4"/>
  <c r="T53" i="4"/>
  <c r="T50" i="4"/>
  <c r="T48" i="4"/>
  <c r="T47" i="4"/>
  <c r="T39" i="4"/>
  <c r="T36" i="4"/>
  <c r="T34" i="4"/>
  <c r="T32" i="4"/>
  <c r="T30" i="4"/>
  <c r="T24" i="4"/>
  <c r="R59" i="4"/>
  <c r="R58" i="4"/>
  <c r="R57" i="4"/>
  <c r="R56" i="4"/>
  <c r="R55" i="4"/>
  <c r="R54" i="4"/>
  <c r="R53" i="4"/>
  <c r="R50" i="4"/>
  <c r="R48" i="4"/>
  <c r="R47" i="4"/>
  <c r="R39" i="4"/>
  <c r="R36" i="4"/>
  <c r="R34" i="4"/>
  <c r="R32" i="4"/>
  <c r="R30" i="4"/>
  <c r="R24" i="4"/>
  <c r="P52" i="4"/>
  <c r="M52" i="4"/>
  <c r="N52" i="4" s="1"/>
  <c r="K52" i="4"/>
  <c r="L52" i="4" s="1"/>
  <c r="H52" i="4"/>
  <c r="V30" i="4"/>
  <c r="N30" i="4"/>
  <c r="L30" i="4"/>
  <c r="J30" i="4"/>
  <c r="H30" i="4"/>
  <c r="P15" i="4" l="1"/>
  <c r="P16" i="4"/>
  <c r="O17" i="4"/>
  <c r="Q17" i="4"/>
  <c r="R17" i="4" s="1"/>
  <c r="I17" i="4"/>
  <c r="J17" i="4" s="1"/>
  <c r="Q16" i="4"/>
  <c r="R16" i="4" s="1"/>
  <c r="I16" i="4"/>
  <c r="J16" i="4" s="1"/>
  <c r="U17" i="4"/>
  <c r="V17" i="4" s="1"/>
  <c r="M17" i="4"/>
  <c r="N17" i="4" s="1"/>
  <c r="U16" i="4"/>
  <c r="V16" i="4" s="1"/>
  <c r="M16" i="4"/>
  <c r="N16" i="4" s="1"/>
  <c r="S17" i="4"/>
  <c r="T17" i="4" s="1"/>
  <c r="K17" i="4"/>
  <c r="L17" i="4" s="1"/>
  <c r="S16" i="4"/>
  <c r="T16" i="4" s="1"/>
  <c r="K16" i="4"/>
  <c r="L16" i="4" s="1"/>
  <c r="P51" i="4"/>
  <c r="P49" i="4"/>
  <c r="P46" i="4"/>
  <c r="P45" i="4"/>
  <c r="P44" i="4"/>
  <c r="P43" i="4"/>
  <c r="P42" i="4"/>
  <c r="P40" i="4"/>
  <c r="P37" i="4"/>
  <c r="P35" i="4"/>
  <c r="P33" i="4"/>
  <c r="P25" i="4"/>
  <c r="P17" i="4" l="1"/>
  <c r="O60" i="4" s="1"/>
  <c r="O61" i="4" s="1"/>
  <c r="O62" i="4" s="1"/>
  <c r="O63" i="4" s="1"/>
  <c r="O64" i="4" s="1"/>
  <c r="V48" i="4"/>
  <c r="V59" i="4"/>
  <c r="V58" i="4"/>
  <c r="V57" i="4"/>
  <c r="V56" i="4"/>
  <c r="V55" i="4"/>
  <c r="V54" i="4"/>
  <c r="V53" i="4"/>
  <c r="V50" i="4"/>
  <c r="V47" i="4"/>
  <c r="V36" i="4"/>
  <c r="V34" i="4"/>
  <c r="V32" i="4"/>
  <c r="V24" i="4"/>
  <c r="N47" i="4"/>
  <c r="N34" i="4"/>
  <c r="N24" i="4"/>
  <c r="N59" i="4"/>
  <c r="N58" i="4"/>
  <c r="N57" i="4"/>
  <c r="N56" i="4"/>
  <c r="N55" i="4"/>
  <c r="N54" i="4"/>
  <c r="N53" i="4"/>
  <c r="M51" i="4"/>
  <c r="N50" i="4"/>
  <c r="N48" i="4"/>
  <c r="N39" i="4"/>
  <c r="N36" i="4"/>
  <c r="L59" i="4"/>
  <c r="L58" i="4"/>
  <c r="L57" i="4"/>
  <c r="L56" i="4"/>
  <c r="L55" i="4"/>
  <c r="L54" i="4"/>
  <c r="L53" i="4"/>
  <c r="L50" i="4"/>
  <c r="K51" i="4"/>
  <c r="L48" i="4"/>
  <c r="L47" i="4"/>
  <c r="L39" i="4"/>
  <c r="L36" i="4"/>
  <c r="L34" i="4"/>
  <c r="L24" i="4"/>
  <c r="J59" i="4"/>
  <c r="J58" i="4"/>
  <c r="J57" i="4"/>
  <c r="J56" i="4"/>
  <c r="J55" i="4"/>
  <c r="J54" i="4"/>
  <c r="J53" i="4"/>
  <c r="J50" i="4"/>
  <c r="J48" i="4"/>
  <c r="J47" i="4"/>
  <c r="J39" i="4"/>
  <c r="J36" i="4"/>
  <c r="J34" i="4"/>
  <c r="J32" i="4"/>
  <c r="J24" i="4"/>
  <c r="H50" i="4"/>
  <c r="H58" i="4"/>
  <c r="H57" i="4"/>
  <c r="H56" i="4"/>
  <c r="H55" i="4"/>
  <c r="H54" i="4"/>
  <c r="H53" i="4"/>
  <c r="H48" i="4"/>
  <c r="H47" i="4"/>
  <c r="H39" i="4"/>
  <c r="H36" i="4"/>
  <c r="H34" i="4"/>
  <c r="H32" i="4"/>
  <c r="H29" i="4"/>
  <c r="V51" i="4" l="1"/>
  <c r="T51" i="4"/>
  <c r="R51" i="4"/>
  <c r="J51" i="4"/>
  <c r="N51" i="4"/>
  <c r="H51" i="4"/>
  <c r="L51" i="4"/>
  <c r="R25" i="4" l="1"/>
  <c r="T25" i="4"/>
  <c r="T46" i="4"/>
  <c r="R46" i="4"/>
  <c r="T45" i="4"/>
  <c r="R45" i="4"/>
  <c r="R40" i="4"/>
  <c r="T40" i="4"/>
  <c r="T42" i="4"/>
  <c r="R42" i="4"/>
  <c r="T49" i="4"/>
  <c r="R49" i="4"/>
  <c r="R33" i="4"/>
  <c r="T33" i="4"/>
  <c r="T35" i="4"/>
  <c r="R35" i="4"/>
  <c r="R37" i="4"/>
  <c r="T37" i="4"/>
  <c r="T44" i="4"/>
  <c r="R44" i="4"/>
  <c r="R43" i="4"/>
  <c r="T43" i="4"/>
  <c r="V49" i="4"/>
  <c r="V37" i="4"/>
  <c r="V43" i="4"/>
  <c r="V45" i="4"/>
  <c r="V44" i="4"/>
  <c r="V33" i="4"/>
  <c r="V40" i="4"/>
  <c r="V46" i="4"/>
  <c r="N46" i="4"/>
  <c r="L46" i="4"/>
  <c r="J46" i="4"/>
  <c r="H46" i="4"/>
  <c r="H45" i="4"/>
  <c r="N45" i="4"/>
  <c r="L45" i="4"/>
  <c r="J45" i="4"/>
  <c r="L40" i="4"/>
  <c r="N40" i="4"/>
  <c r="H40" i="4"/>
  <c r="J40" i="4"/>
  <c r="N49" i="4"/>
  <c r="L49" i="4"/>
  <c r="J49" i="4"/>
  <c r="H49" i="4"/>
  <c r="N25" i="4"/>
  <c r="J25" i="4"/>
  <c r="L25" i="4"/>
  <c r="H33" i="4"/>
  <c r="N33" i="4"/>
  <c r="J33" i="4"/>
  <c r="L33" i="4"/>
  <c r="N42" i="4"/>
  <c r="L42" i="4"/>
  <c r="H42" i="4"/>
  <c r="J42" i="4"/>
  <c r="L37" i="4"/>
  <c r="N37" i="4"/>
  <c r="J37" i="4"/>
  <c r="N44" i="4"/>
  <c r="L44" i="4"/>
  <c r="H44" i="4"/>
  <c r="J44" i="4"/>
  <c r="L43" i="4"/>
  <c r="N43" i="4"/>
  <c r="H43" i="4"/>
  <c r="J43" i="4"/>
  <c r="G60" i="4" l="1"/>
  <c r="G61" i="4" s="1"/>
  <c r="G62" i="4" s="1"/>
  <c r="G63" i="4" s="1"/>
  <c r="I60" i="4"/>
  <c r="I61" i="4" s="1"/>
  <c r="I62" i="4" s="1"/>
  <c r="I63" i="4" s="1"/>
  <c r="I64" i="4" s="1"/>
  <c r="S60" i="4"/>
  <c r="S61" i="4" s="1"/>
  <c r="S62" i="4" s="1"/>
  <c r="S63" i="4" s="1"/>
  <c r="S64" i="4" s="1"/>
  <c r="K60" i="4"/>
  <c r="K61" i="4" s="1"/>
  <c r="K62" i="4" s="1"/>
  <c r="K63" i="4" s="1"/>
  <c r="K64" i="4" s="1"/>
  <c r="Q60" i="4"/>
  <c r="Q61" i="4" s="1"/>
  <c r="Q62" i="4" s="1"/>
  <c r="Q63" i="4" s="1"/>
  <c r="Q64" i="4" s="1"/>
  <c r="U60" i="4"/>
  <c r="U61" i="4" s="1"/>
  <c r="U62" i="4" s="1"/>
  <c r="U63" i="4" s="1"/>
  <c r="U64" i="4" s="1"/>
  <c r="M60" i="4"/>
  <c r="M61" i="4" s="1"/>
  <c r="M62" i="4" s="1"/>
  <c r="M63" i="4" s="1"/>
  <c r="M64" i="4" s="1"/>
  <c r="G64" i="4" l="1"/>
</calcChain>
</file>

<file path=xl/sharedStrings.xml><?xml version="1.0" encoding="utf-8"?>
<sst xmlns="http://schemas.openxmlformats.org/spreadsheetml/2006/main" count="788" uniqueCount="508">
  <si>
    <t>CANTEIRO DE OBRAS</t>
  </si>
  <si>
    <t>DESCRIÇÃO</t>
  </si>
  <si>
    <t>UNIDADE</t>
  </si>
  <si>
    <t>QUANTIDADE</t>
  </si>
  <si>
    <t>CUSTO TOTAL</t>
  </si>
  <si>
    <t>INSTALAÇÕES PROVISÓRIAS</t>
  </si>
  <si>
    <t>mês</t>
  </si>
  <si>
    <t>Posto de Combustível e Lubrificação</t>
  </si>
  <si>
    <t>Banheiros Químicos (com lavatório)</t>
  </si>
  <si>
    <t>m</t>
  </si>
  <si>
    <t>Fossa Séptica</t>
  </si>
  <si>
    <t>un</t>
  </si>
  <si>
    <t>Sumidouro</t>
  </si>
  <si>
    <t>m2</t>
  </si>
  <si>
    <t>PREÇO TOTAL</t>
  </si>
  <si>
    <t>OBS:</t>
  </si>
  <si>
    <t>DESPESAS DIVERSAS (5%)</t>
  </si>
  <si>
    <t>DESPESAS DIVERSAS (5,00%)</t>
  </si>
  <si>
    <t>Regularização do subleito</t>
  </si>
  <si>
    <t>Lastro de brita</t>
  </si>
  <si>
    <t>PREPARAÇÃO DO TERRENO</t>
  </si>
  <si>
    <t>Tapume metálico</t>
  </si>
  <si>
    <t>Portão de acesso</t>
  </si>
  <si>
    <t>Tapume de madeira</t>
  </si>
  <si>
    <t>FECHAMENTO</t>
  </si>
  <si>
    <t>Limpeza mecanizada da camada vegetal</t>
  </si>
  <si>
    <t>1. LASTRO DE BRITA - ACRESCER TRANSPORTE</t>
  </si>
  <si>
    <t>Cerca 4 fios c/ mourões de concreto</t>
  </si>
  <si>
    <t>und</t>
  </si>
  <si>
    <t>ÁREA TOTAL DO TERRENO</t>
  </si>
  <si>
    <t>-</t>
  </si>
  <si>
    <t>Escritório provisório em madeira</t>
  </si>
  <si>
    <t>Alojamento provisório em alvenaria (locação)</t>
  </si>
  <si>
    <t>ADM</t>
  </si>
  <si>
    <t>Almoxarifado provisório em madeira</t>
  </si>
  <si>
    <t>Depósito provisório em madeira</t>
  </si>
  <si>
    <t>Galpões para Carpintaria e Armação</t>
  </si>
  <si>
    <t>Rampa de lavagem</t>
  </si>
  <si>
    <t>Sistema separador água e óleo</t>
  </si>
  <si>
    <t>Central de armadura</t>
  </si>
  <si>
    <t>Reservatório elevado de água 1000l</t>
  </si>
  <si>
    <t>PRAZO DE EXECUÇÃO DA OBRA:</t>
  </si>
  <si>
    <t>2. FECHAMENTO - CONSIDERAR DE ACORDO COM O LOCAL DE INSTALAÇÃO DO CANTEIRO, LEVANDO EM CONSIDERAÇÃO QUESTÕES DE ACESSO E SEGURANÇA</t>
  </si>
  <si>
    <t>Área de recreação/vivência</t>
  </si>
  <si>
    <t>DESPESAS DIVERSAS - MOBILIÁRIO, EQUIPAMENTOS DE INFORMÁTICA, LOUÇAS E ACESSÓRIOS, LIGAÇÕES PROVISÓRIAS, ÁGUA POTÁVEL, LAVANDERIA, ETC.</t>
  </si>
  <si>
    <t>5. ALOJAMENTO PROVISÓRIO EM ALVENARIA (LOCAÇÃO) - CUSTO MÉDIO DE LOCAÇÃO DE RESIDÊNCIA NA REGIÃO DE ABRANGÊNCIA DA OBRA</t>
  </si>
  <si>
    <t>4. ALOJAMENTOS E ÁREA DE VIVÊNCIA - EM FUNÇÃO DO PLANO DE EXECUÇÃO E DA LOCALIZAÇÃO OBRA</t>
  </si>
  <si>
    <t>7. UTILIZAÇÃO DA ÁREA DE CANTEIRO (LOCAÇÃO) - CUSTO MÉDIO DE LOCAÇÃO DE TERRENO NA REGIÃO DE ABRANGÊNCIA DA OBRA</t>
  </si>
  <si>
    <t>8. INSTALAÇÕES INDUSTRIAIS - ACRESCIDOS QUANDO INDICADOS EM PROJETO, DO CONTRÁRIO SERÁ CONSIDERADO INSTALAÇÕES COMERCIAIS</t>
  </si>
  <si>
    <t xml:space="preserve"> B1</t>
  </si>
  <si>
    <t xml:space="preserve"> C1</t>
  </si>
  <si>
    <t xml:space="preserve"> D1</t>
  </si>
  <si>
    <t>IMPLANTAÇÃO, AUMENTO DE CAPACIDADE (DUPLICAÇÃO, FAIXAS) E RESTAURAÇÃO</t>
  </si>
  <si>
    <t>CONSERVAÇÃO PAVIMENTO</t>
  </si>
  <si>
    <t>CONSERVAÇÃO FAIXA DOMÍNIO  E RECUPERAÇÃO DE SINALIZAÇÃO</t>
  </si>
  <si>
    <t xml:space="preserve"> E1</t>
  </si>
  <si>
    <t xml:space="preserve"> F1</t>
  </si>
  <si>
    <t xml:space="preserve"> G1</t>
  </si>
  <si>
    <t xml:space="preserve"> H1</t>
  </si>
  <si>
    <t>Alojamento provisório em madeira</t>
  </si>
  <si>
    <t>PROJETO</t>
  </si>
  <si>
    <t>PEQUENO PORTE (ATÉ 10KM)</t>
  </si>
  <si>
    <t>MÉDIO PORTE (10-30KM)</t>
  </si>
  <si>
    <t>GRANDE PORTE (ACIMA 30KM)</t>
  </si>
  <si>
    <t>DER/PR</t>
  </si>
  <si>
    <t>CMCC</t>
  </si>
  <si>
    <t>COTAÇÃO</t>
  </si>
  <si>
    <t>CN-001</t>
  </si>
  <si>
    <t>CN-002</t>
  </si>
  <si>
    <t>CN-003</t>
  </si>
  <si>
    <t>FATOR</t>
  </si>
  <si>
    <t>Sanitário e vestiário provisório em madeira</t>
  </si>
  <si>
    <t>Refeitório e cozinha provisória em madeira</t>
  </si>
  <si>
    <t>CN-005</t>
  </si>
  <si>
    <r>
      <rPr>
        <b/>
        <sz val="8"/>
        <rFont val="Arial"/>
        <family val="2"/>
      </rPr>
      <t>CUSTO
UNITÁRIO</t>
    </r>
  </si>
  <si>
    <t>OU</t>
  </si>
  <si>
    <t>3. REFEITÓRIO E COZINHA - EM ÁREA URBANA, PODERÁ SER SUBSTITUÍDO POR VALE ALIMENTAÇÃO (ALTERAR ENCARGOS COMPLEMENTARES DA MÃO DE OBRA)</t>
  </si>
  <si>
    <t>6. BANHEIRO QUÍMICO - PODERÁ SER AJUSTADO CONFORME PREVISÃO DE FRENTES DE SERVIÇO</t>
  </si>
  <si>
    <t>Oficina provisória em madeira</t>
  </si>
  <si>
    <t>DIMENSIONAMENTO PARA UM MÁXIMO DE</t>
  </si>
  <si>
    <t>FUNCIONÁRIOS</t>
  </si>
  <si>
    <t>LOCAL</t>
  </si>
  <si>
    <t>APARELHOS</t>
  </si>
  <si>
    <t>QT</t>
  </si>
  <si>
    <r>
      <t>ÁREA M</t>
    </r>
    <r>
      <rPr>
        <sz val="11"/>
        <color rgb="FF000000"/>
        <rFont val="Arial"/>
        <family val="2"/>
      </rPr>
      <t>²</t>
    </r>
  </si>
  <si>
    <r>
      <t>TOTAL M</t>
    </r>
    <r>
      <rPr>
        <sz val="11"/>
        <color rgb="FF000000"/>
        <rFont val="Arial"/>
        <family val="2"/>
      </rPr>
      <t>²</t>
    </r>
  </si>
  <si>
    <t>Módulo vaso sanitário</t>
  </si>
  <si>
    <t>Módulo chuveiro</t>
  </si>
  <si>
    <t>Módulo</t>
  </si>
  <si>
    <t xml:space="preserve"> Módulo mictório</t>
  </si>
  <si>
    <t xml:space="preserve"> Módulo lavatório</t>
  </si>
  <si>
    <t>INSTALAÇÕES SANITÁRIAS</t>
  </si>
  <si>
    <t>REFEITÓRIO COZINHA</t>
  </si>
  <si>
    <t xml:space="preserve">ALOJAMENTO </t>
  </si>
  <si>
    <t xml:space="preserve">VESTIÁRIO </t>
  </si>
  <si>
    <t>LAVANDERIA</t>
  </si>
  <si>
    <t xml:space="preserve"> BEBEDOURO</t>
  </si>
  <si>
    <t>TOTAL DE ÁREA</t>
  </si>
  <si>
    <t>MÃO DE OBRA - MÉDIA</t>
  </si>
  <si>
    <t>MÃO DE OBRA - PICO</t>
  </si>
  <si>
    <t>Residência provisória em alvenaria (locação)</t>
  </si>
  <si>
    <t>Residência provisória em madeira</t>
  </si>
  <si>
    <t>OAE (Pontes, Viadutos e Passarelas) e CONTENÇÃO</t>
  </si>
  <si>
    <t xml:space="preserve"> TÚNEIS, GRANDES OAE'S ENTRE OUTRAS)</t>
  </si>
  <si>
    <t xml:space="preserve">9. ÁREA DE VIVÊNCIA EM TENDA PIRAMIDAL , COM BANQUETAS DOBRÁVEIS E MESAS DOBRÁVEIS (1,80 m) </t>
  </si>
  <si>
    <t>OBRAS NÃO CONVENCIONAIS E OBRAS ESTRITAMENTE URBANAS</t>
  </si>
  <si>
    <t>Superintendência</t>
  </si>
  <si>
    <t>Localização</t>
  </si>
  <si>
    <t>Municipio</t>
  </si>
  <si>
    <t>Locações</t>
  </si>
  <si>
    <t>Edificação / mês</t>
  </si>
  <si>
    <t>Terreno / m2</t>
  </si>
  <si>
    <t>Contenda</t>
  </si>
  <si>
    <t>Curitiba</t>
  </si>
  <si>
    <t>Campina Grande do Sul</t>
  </si>
  <si>
    <t>Pato Branco</t>
  </si>
  <si>
    <t>Média</t>
  </si>
  <si>
    <t>Ponta Grossa</t>
  </si>
  <si>
    <t>Paranavaí</t>
  </si>
  <si>
    <t>Maringá</t>
  </si>
  <si>
    <t>Cianorte</t>
  </si>
  <si>
    <t>Foz do Iguaçu</t>
  </si>
  <si>
    <t>Cascavel</t>
  </si>
  <si>
    <t>Média geral</t>
  </si>
  <si>
    <t xml:space="preserve">Utilização da Área de Canteiro (locação) </t>
  </si>
  <si>
    <t>SUB-TOTAL</t>
  </si>
  <si>
    <t>Trecho:</t>
  </si>
  <si>
    <t>COM  DESONERAÇÃO</t>
  </si>
  <si>
    <t>Ext.   Km</t>
  </si>
  <si>
    <r>
      <t>BDI (</t>
    </r>
    <r>
      <rPr>
        <b/>
        <sz val="8"/>
        <color rgb="FFFF0000"/>
        <rFont val="Arial"/>
        <family val="2"/>
      </rPr>
      <t>25,70%</t>
    </r>
    <r>
      <rPr>
        <b/>
        <sz val="8"/>
        <rFont val="Arial"/>
        <family val="2"/>
      </rPr>
      <t>)</t>
    </r>
  </si>
  <si>
    <t>Escritório -12,00 m compr. - container duplo de 20' (6,00x2,40x 2,30 m) c/ janelas e BWC</t>
  </si>
  <si>
    <t>Residência - container de 20' (6,00x2,40x2,30 m) c/ janela</t>
  </si>
  <si>
    <t>Alojamento - container de 20' (6,00x2,40x2,30 m) c/ janela</t>
  </si>
  <si>
    <t>Almoxarifado - container de 20' (6,00x2,40x2,30 m) c/ janelas</t>
  </si>
  <si>
    <t>Depósito - container de 20' (6,00x2,40x2,30 m)</t>
  </si>
  <si>
    <t>Sala de topografia - container de 20' (6,00x2,40x2,30 m) c/ janela</t>
  </si>
  <si>
    <t>Laboratório - container de 20' (6,00x2,40x2,30 m) c/ janela</t>
  </si>
  <si>
    <t>Guarita - container (1/2) de 20' (3,00x2,40x 2,30 m) c/ janela</t>
  </si>
  <si>
    <t>Área de recreação/vivência em tenda piramidal (01un) / mesas (06un) e banquetas (16un)</t>
  </si>
  <si>
    <r>
      <rPr>
        <b/>
        <sz val="9"/>
        <color rgb="FF00B050"/>
        <rFont val="Arial"/>
        <family val="2"/>
      </rPr>
      <t>Escritório</t>
    </r>
    <r>
      <rPr>
        <sz val="9"/>
        <color rgb="FF00B050"/>
        <rFont val="Arial"/>
        <family val="2"/>
      </rPr>
      <t xml:space="preserve"> -12,00 m compr. - container duplo de 20' (6,00x2,40x 2,30 m) c/ janelas e BWC</t>
    </r>
  </si>
  <si>
    <r>
      <rPr>
        <b/>
        <sz val="9"/>
        <color rgb="FF00B050"/>
        <rFont val="Arial"/>
        <family val="2"/>
      </rPr>
      <t>Residência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</si>
  <si>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Alojamento</t>
    </r>
    <r>
      <rPr>
        <sz val="9"/>
        <color rgb="FF00B050"/>
        <rFont val="Arial"/>
        <family val="2"/>
      </rPr>
      <t xml:space="preserve"> - container de 20' (6,00x2,40x2,30 m) c/ janela</t>
    </r>
  </si>
  <si>
    <r>
      <rPr>
        <b/>
        <sz val="9"/>
        <color rgb="FF00B050"/>
        <rFont val="Arial"/>
        <family val="2"/>
      </rPr>
      <t>Refeitório e cozinh</t>
    </r>
    <r>
      <rPr>
        <sz val="9"/>
        <color rgb="FF00B050"/>
        <rFont val="Arial"/>
        <family val="2"/>
      </rPr>
      <t>a - 02 containers 20' (6,00x2,40x 2,30 m)  c/ janelas</t>
    </r>
  </si>
  <si>
    <t>Capacidade (funcionários)</t>
  </si>
  <si>
    <t>Dois</t>
  </si>
  <si>
    <r>
      <rPr>
        <b/>
        <sz val="9"/>
        <color rgb="FF00B050"/>
        <rFont val="Arial"/>
        <family val="2"/>
      </rPr>
      <t>Sanitário e vestiário</t>
    </r>
    <r>
      <rPr>
        <sz val="9"/>
        <color rgb="FF00B050"/>
        <rFont val="Arial"/>
        <family val="2"/>
      </rPr>
      <t xml:space="preserve"> -  container 20' (6,00x2,40x2,30 m) (mínimo c/ 03 vasos sanitários e 03 pontos p/ chuveiros e 03 lavatórios ou calha lavatório)</t>
    </r>
  </si>
  <si>
    <t>Sanitário e vestiário - container 20' (6,00x2,40x2,30 m) (mínimo c/ 03 vasos sanitários e 03 pontos p/ chuveiros e 03 lavatórios ou calha lavatório)</t>
  </si>
  <si>
    <t>Ambulatório - container de 20' (6,00x2,40x2,30 m) c/ janelas</t>
  </si>
  <si>
    <t>Área de recreação/vivência -  container de 20' (6,00x2,40x2,30 m) c/ janelas</t>
  </si>
  <si>
    <t xml:space="preserve">Área mínima </t>
  </si>
  <si>
    <t>28,80 m2 /  05 pessoas</t>
  </si>
  <si>
    <t>14,40 m2 / 03 pessoas</t>
  </si>
  <si>
    <t>57,60 m2</t>
  </si>
  <si>
    <t xml:space="preserve">28,80 m2 </t>
  </si>
  <si>
    <t>14,40 m2 /  20 pessoas</t>
  </si>
  <si>
    <t>28,80 m2</t>
  </si>
  <si>
    <t>36,00 m2</t>
  </si>
  <si>
    <t>Oficina - 02 container de 20' (6,00x2,40x2,30 m) c/ janelas + 01 container (1/2) de 20 ' (3,00x2,40x2,30 m c/ janela)</t>
  </si>
  <si>
    <t>7,20 m2</t>
  </si>
  <si>
    <t>14,40 m2</t>
  </si>
  <si>
    <t>A1</t>
  </si>
  <si>
    <t>CONVÊNIO MUNICIPAL</t>
  </si>
  <si>
    <r>
      <t xml:space="preserve">Refeitório e cozinha - </t>
    </r>
    <r>
      <rPr>
        <b/>
        <sz val="8"/>
        <color rgb="FF00B050"/>
        <rFont val="Arial"/>
        <family val="2"/>
      </rPr>
      <t>02 conjuntos</t>
    </r>
    <r>
      <rPr>
        <sz val="8"/>
        <color rgb="FF00B050"/>
        <rFont val="Arial"/>
        <family val="2"/>
      </rPr>
      <t xml:space="preserve"> de 02 containers 20' (6,00x2,40x 2,30 m)  c/ janelas</t>
    </r>
  </si>
  <si>
    <t>Lavanderia provisória em madeira</t>
  </si>
  <si>
    <t>FONTE (data-base: 31/10/2024)</t>
  </si>
  <si>
    <t>conteineres</t>
  </si>
  <si>
    <t>LOCAÇÕES</t>
  </si>
  <si>
    <t>Informações</t>
  </si>
  <si>
    <t>Leste</t>
  </si>
  <si>
    <t>Bairro Capão da Imbuia</t>
  </si>
  <si>
    <t>Casa c/ 03 quartos</t>
  </si>
  <si>
    <t>Bairro Tatuquara</t>
  </si>
  <si>
    <t>8.500,00 m2</t>
  </si>
  <si>
    <t>Bairro Capão Raso</t>
  </si>
  <si>
    <t>Bairro Alto Boqueirão</t>
  </si>
  <si>
    <t>12.218,00 m2</t>
  </si>
  <si>
    <t>Bairro Barreirinha</t>
  </si>
  <si>
    <t>Bairro Bacacheri</t>
  </si>
  <si>
    <t>576,00 m2</t>
  </si>
  <si>
    <t>Bairro Cristo Rei</t>
  </si>
  <si>
    <t>900,00 m2</t>
  </si>
  <si>
    <t>Bairro Pinheirinho</t>
  </si>
  <si>
    <t>Bairro Campo do Santana</t>
  </si>
  <si>
    <t>12.800,00 m2</t>
  </si>
  <si>
    <t>Bairro Fazendinha</t>
  </si>
  <si>
    <t>Bairro Boqueirão</t>
  </si>
  <si>
    <t>432,00 m2</t>
  </si>
  <si>
    <t>Bairro São Braz</t>
  </si>
  <si>
    <t>Bairro Alto</t>
  </si>
  <si>
    <t>Bairro São Lourenço</t>
  </si>
  <si>
    <t>Pinhais</t>
  </si>
  <si>
    <t>Bairro Alto Tarumã</t>
  </si>
  <si>
    <t>Bairro Vargem Grande</t>
  </si>
  <si>
    <t>350,00 m2</t>
  </si>
  <si>
    <t>Bairro Maria Antonieta</t>
  </si>
  <si>
    <t>Bairro Centro</t>
  </si>
  <si>
    <t>608,00 m2</t>
  </si>
  <si>
    <t>Bairro Portal da Serra</t>
  </si>
  <si>
    <t>374,00 m2</t>
  </si>
  <si>
    <t>2.000,00 m2</t>
  </si>
  <si>
    <t>Colombo</t>
  </si>
  <si>
    <t>Bairro São Gabriel</t>
  </si>
  <si>
    <t>Bairro Atuba</t>
  </si>
  <si>
    <t>600,00 m2</t>
  </si>
  <si>
    <t>Bairro Campo Pequeno</t>
  </si>
  <si>
    <t>Bairro Capivari</t>
  </si>
  <si>
    <t>41.000,00 m2</t>
  </si>
  <si>
    <t>Bairro Planta Teixeira de Lara</t>
  </si>
  <si>
    <t>234,00 m2</t>
  </si>
  <si>
    <t>Bairro Guaraituba</t>
  </si>
  <si>
    <t>1.200,00 m2</t>
  </si>
  <si>
    <t>Bairro Parque do Embu</t>
  </si>
  <si>
    <t>1.060,00 m2</t>
  </si>
  <si>
    <t>Bairro Jardim Bandeirantes</t>
  </si>
  <si>
    <t>564,00 m2</t>
  </si>
  <si>
    <t>Piraquara</t>
  </si>
  <si>
    <t>Bairro Vila São Tiago</t>
  </si>
  <si>
    <t>Bairro Jardim Primavera</t>
  </si>
  <si>
    <t>4.800,00 m2</t>
  </si>
  <si>
    <t>1.170,00 m2</t>
  </si>
  <si>
    <t>Bairro Planta Meireles</t>
  </si>
  <si>
    <t>Bairro Águas Claras</t>
  </si>
  <si>
    <t>10,000,00 m2</t>
  </si>
  <si>
    <t>Fazenda Rio Grande</t>
  </si>
  <si>
    <t>Bairro Santa Terezinha</t>
  </si>
  <si>
    <t>Bairro Nações</t>
  </si>
  <si>
    <t>1.080,00 m2</t>
  </si>
  <si>
    <t>Bairro Iguaçu</t>
  </si>
  <si>
    <t>810,00 m2</t>
  </si>
  <si>
    <t>Bairro Eucaliptos</t>
  </si>
  <si>
    <t>3.193,00 m2</t>
  </si>
  <si>
    <t>Zona Rural</t>
  </si>
  <si>
    <t>5.000,00 m2</t>
  </si>
  <si>
    <t>Morretes</t>
  </si>
  <si>
    <t>Guaratuba</t>
  </si>
  <si>
    <t>Bairro COHAPAR</t>
  </si>
  <si>
    <t>304 m2</t>
  </si>
  <si>
    <t>Matinhos</t>
  </si>
  <si>
    <t>Caiobá</t>
  </si>
  <si>
    <t>1.536 m2</t>
  </si>
  <si>
    <t>São José dos Pinhais</t>
  </si>
  <si>
    <t>Bairro São Pedro</t>
  </si>
  <si>
    <t>Bairro Colônia Rio Grande</t>
  </si>
  <si>
    <t>2.100,00 m2</t>
  </si>
  <si>
    <t>Bairro Miringuava</t>
  </si>
  <si>
    <t>584,00 m2</t>
  </si>
  <si>
    <t>Bairro Costeira</t>
  </si>
  <si>
    <t>Bairro Rio Pequeno</t>
  </si>
  <si>
    <t>10.168,00 m2</t>
  </si>
  <si>
    <t>Rua Martins Del Sechi</t>
  </si>
  <si>
    <t>Bairro Campo Largo da Roseira</t>
  </si>
  <si>
    <t>33.959,00 m2</t>
  </si>
  <si>
    <t>33.000,00 m2</t>
  </si>
  <si>
    <t>São Mateus do Sul</t>
  </si>
  <si>
    <t>São Mateus do sul</t>
  </si>
  <si>
    <t>União da Vitória</t>
  </si>
  <si>
    <t>Bairro Jardim Muzzolon</t>
  </si>
  <si>
    <t>Rua Ipiranga</t>
  </si>
  <si>
    <t>419,50 m2</t>
  </si>
  <si>
    <t>Bairro São Sebastião</t>
  </si>
  <si>
    <t>BR-153</t>
  </si>
  <si>
    <t>104.000,00 m2</t>
  </si>
  <si>
    <t>Bairro Navegantes</t>
  </si>
  <si>
    <t>2.029,20 m2</t>
  </si>
  <si>
    <t>Pontal do Paraná</t>
  </si>
  <si>
    <t>Bairro Portal do Paraná</t>
  </si>
  <si>
    <t>Praia de Leste</t>
  </si>
  <si>
    <t>1.178,00 m2</t>
  </si>
  <si>
    <t>Bairro Canoas</t>
  </si>
  <si>
    <t>722,00 m2</t>
  </si>
  <si>
    <t>Paranaguá</t>
  </si>
  <si>
    <t>Bairro Jardim América</t>
  </si>
  <si>
    <t>Bairro Tuiutí</t>
  </si>
  <si>
    <t>373 m2</t>
  </si>
  <si>
    <t>Bairro Alto Sebastião</t>
  </si>
  <si>
    <t>Bairro Leblon</t>
  </si>
  <si>
    <t>Bairro Porto dos Padres</t>
  </si>
  <si>
    <t>Quatro Barras</t>
  </si>
  <si>
    <t>Jardim Menino Deus</t>
  </si>
  <si>
    <t>Bairro Jardim Pinheiros</t>
  </si>
  <si>
    <t>8.000,00 m2</t>
  </si>
  <si>
    <t>Bairro Jardim Paulista</t>
  </si>
  <si>
    <t>480,00 m2</t>
  </si>
  <si>
    <t>Bairro Jardim Graciosa</t>
  </si>
  <si>
    <t>Bairro Jardim Santa Rosa</t>
  </si>
  <si>
    <t>Retrogido Outubro 2024</t>
  </si>
  <si>
    <t>Campos Gerais</t>
  </si>
  <si>
    <t>Chapada</t>
  </si>
  <si>
    <t>Oficinas</t>
  </si>
  <si>
    <t>300 m2</t>
  </si>
  <si>
    <t>Boa Vista</t>
  </si>
  <si>
    <t>Nova Russia</t>
  </si>
  <si>
    <t>350 m2</t>
  </si>
  <si>
    <t>Jardim Carvalho</t>
  </si>
  <si>
    <t>Estrela</t>
  </si>
  <si>
    <t>510 m2</t>
  </si>
  <si>
    <t>Cará-cará</t>
  </si>
  <si>
    <t>Orfãs</t>
  </si>
  <si>
    <t>600 m2</t>
  </si>
  <si>
    <t>Guarapuava</t>
  </si>
  <si>
    <t>Jardim das Americas</t>
  </si>
  <si>
    <t>Batel</t>
  </si>
  <si>
    <t>1000 m2</t>
  </si>
  <si>
    <t>Boqueirão</t>
  </si>
  <si>
    <t>Vila Bela</t>
  </si>
  <si>
    <t>1344 m2</t>
  </si>
  <si>
    <t>Conradinho</t>
  </si>
  <si>
    <t>Vila Carli</t>
  </si>
  <si>
    <t>3000 m2</t>
  </si>
  <si>
    <t>Alto da VX</t>
  </si>
  <si>
    <t>900 m2</t>
  </si>
  <si>
    <t>1287 m2</t>
  </si>
  <si>
    <t>Mirante da Serra</t>
  </si>
  <si>
    <t>Irati</t>
  </si>
  <si>
    <t>Rio Bonito</t>
  </si>
  <si>
    <t>Centro</t>
  </si>
  <si>
    <t>580 m2</t>
  </si>
  <si>
    <t>Vila Nova</t>
  </si>
  <si>
    <t>Canisianas</t>
  </si>
  <si>
    <t>Telêmaco</t>
  </si>
  <si>
    <t>Área 02</t>
  </si>
  <si>
    <t>3315 m2</t>
  </si>
  <si>
    <t>Bela Vista</t>
  </si>
  <si>
    <t>Norte</t>
  </si>
  <si>
    <t>Londrina</t>
  </si>
  <si>
    <t>Parque Res. Michael Licha</t>
  </si>
  <si>
    <t>Parque Universidade</t>
  </si>
  <si>
    <t>2100 m2</t>
  </si>
  <si>
    <t>Bandeirantes</t>
  </si>
  <si>
    <t>Lima Azevedo</t>
  </si>
  <si>
    <t>500 m2</t>
  </si>
  <si>
    <t>Jardim Tókio</t>
  </si>
  <si>
    <t>793 m2</t>
  </si>
  <si>
    <t>Dom Pedro</t>
  </si>
  <si>
    <t>Jardim Maria Celina</t>
  </si>
  <si>
    <t>549 m2</t>
  </si>
  <si>
    <t>Vale do Reno</t>
  </si>
  <si>
    <t>541 m2</t>
  </si>
  <si>
    <t>Alto da Boa Vista</t>
  </si>
  <si>
    <t>Columbia</t>
  </si>
  <si>
    <t xml:space="preserve">400 m2 </t>
  </si>
  <si>
    <t>Santo Antônio da Platina</t>
  </si>
  <si>
    <t>Jardim São Francisco</t>
  </si>
  <si>
    <t>Jardim Monte das Oliveiras</t>
  </si>
  <si>
    <t>Rolândia</t>
  </si>
  <si>
    <t>Jardim Caviúna</t>
  </si>
  <si>
    <t>Siqueira Campos</t>
  </si>
  <si>
    <t>Alemoa</t>
  </si>
  <si>
    <t>Barbosa</t>
  </si>
  <si>
    <t>Arapongas</t>
  </si>
  <si>
    <t>Jardim Casa Grande</t>
  </si>
  <si>
    <t>Jardim Columbia</t>
  </si>
  <si>
    <t>Jardim Imperio do Sol</t>
  </si>
  <si>
    <t>Apucarana</t>
  </si>
  <si>
    <t>Residencial Interlagos</t>
  </si>
  <si>
    <t>Vila Nossa Senhora</t>
  </si>
  <si>
    <t>Vila Agari</t>
  </si>
  <si>
    <t>Nucleo Habitacional</t>
  </si>
  <si>
    <t>Ibiporã</t>
  </si>
  <si>
    <t>Santa Paula</t>
  </si>
  <si>
    <t>Parque do Vale</t>
  </si>
  <si>
    <t>Jacarezinho</t>
  </si>
  <si>
    <t>Vila Delminda</t>
  </si>
  <si>
    <t>Jardim Alves</t>
  </si>
  <si>
    <t>Parque Bela Vista</t>
  </si>
  <si>
    <t>Noroeste</t>
  </si>
  <si>
    <t>Jardim Los Angeles</t>
  </si>
  <si>
    <t>Vila Mongueira</t>
  </si>
  <si>
    <t>360 m2</t>
  </si>
  <si>
    <t>Conjunto Branca Vieira</t>
  </si>
  <si>
    <t>Jardim Atami</t>
  </si>
  <si>
    <t>445 m2</t>
  </si>
  <si>
    <t>Parque Res. Eldorado</t>
  </si>
  <si>
    <t>Jardim Andrade</t>
  </si>
  <si>
    <t>Jardim Imperial</t>
  </si>
  <si>
    <t>Aeroporto</t>
  </si>
  <si>
    <t>19800 m2</t>
  </si>
  <si>
    <t>Jardim Monte Rei</t>
  </si>
  <si>
    <t>Iguatemi</t>
  </si>
  <si>
    <t>11016 m2</t>
  </si>
  <si>
    <t>Umuarama</t>
  </si>
  <si>
    <t>Jardim Paineiras</t>
  </si>
  <si>
    <t>3189 m2</t>
  </si>
  <si>
    <t>Zona VII</t>
  </si>
  <si>
    <t>858 m2</t>
  </si>
  <si>
    <t>Av. Projetada 13 s/n</t>
  </si>
  <si>
    <t>877,32 m2</t>
  </si>
  <si>
    <t>Sarandi</t>
  </si>
  <si>
    <t>Ecovalley Ecologic City</t>
  </si>
  <si>
    <t>Jardim Ouro Verde</t>
  </si>
  <si>
    <t>Jardim Monterey</t>
  </si>
  <si>
    <t xml:space="preserve">Jardim Nova </t>
  </si>
  <si>
    <t>2930 m2</t>
  </si>
  <si>
    <t>Jardim Aurora</t>
  </si>
  <si>
    <t>Novo Panorama</t>
  </si>
  <si>
    <t>467  m2</t>
  </si>
  <si>
    <t>Jardim Nova Paulista</t>
  </si>
  <si>
    <t>Marialva</t>
  </si>
  <si>
    <t>Rua Papa</t>
  </si>
  <si>
    <t>344 m2</t>
  </si>
  <si>
    <t>Rua Angelo</t>
  </si>
  <si>
    <t>5000 m2</t>
  </si>
  <si>
    <t xml:space="preserve">Rua Romão </t>
  </si>
  <si>
    <t>BR/376</t>
  </si>
  <si>
    <t>10000 m2</t>
  </si>
  <si>
    <t>Jardim Santos Dumont</t>
  </si>
  <si>
    <t>Jardim São Jorge</t>
  </si>
  <si>
    <t>3.000 m2</t>
  </si>
  <si>
    <t>870 m2</t>
  </si>
  <si>
    <t>Jardim Ipê</t>
  </si>
  <si>
    <t>Vila Yara</t>
  </si>
  <si>
    <t>665 m2</t>
  </si>
  <si>
    <t>Zona 03</t>
  </si>
  <si>
    <t>2.322 m2</t>
  </si>
  <si>
    <t>Zona 06</t>
  </si>
  <si>
    <t>Oeste</t>
  </si>
  <si>
    <t>Canadá</t>
  </si>
  <si>
    <t>c/ 03 quartos</t>
  </si>
  <si>
    <t>Santa Cruz</t>
  </si>
  <si>
    <t>660 m2</t>
  </si>
  <si>
    <t>Cascavel Velho</t>
  </si>
  <si>
    <t>Vila Tolentino</t>
  </si>
  <si>
    <t>612 m2</t>
  </si>
  <si>
    <t>Morumbi</t>
  </si>
  <si>
    <t>1144 m2</t>
  </si>
  <si>
    <t>Toledo</t>
  </si>
  <si>
    <t>Vila Industrial</t>
  </si>
  <si>
    <t>Jardim Panorama</t>
  </si>
  <si>
    <t>419 m2</t>
  </si>
  <si>
    <t>Guaíra</t>
  </si>
  <si>
    <t>Tancredo Neves</t>
  </si>
  <si>
    <t>Higienópolis</t>
  </si>
  <si>
    <t>Palotina</t>
  </si>
  <si>
    <t>Messorregião</t>
  </si>
  <si>
    <t>Residencial Murumbi</t>
  </si>
  <si>
    <t>Yolanda</t>
  </si>
  <si>
    <t>520 m2</t>
  </si>
  <si>
    <t>14454 m2</t>
  </si>
  <si>
    <t>874 m2</t>
  </si>
  <si>
    <t>Santa Tereza do Oeste</t>
  </si>
  <si>
    <t>Dois Vizinhos</t>
  </si>
  <si>
    <t>São Francisco</t>
  </si>
  <si>
    <t>Jardim Marcante</t>
  </si>
  <si>
    <t>450 m2</t>
  </si>
  <si>
    <t>Margarida Galvan</t>
  </si>
  <si>
    <t>Sagrada Família</t>
  </si>
  <si>
    <t>Francisco Beltrão</t>
  </si>
  <si>
    <t>Pinheirinho</t>
  </si>
  <si>
    <t>Alvora</t>
  </si>
  <si>
    <t>6182,23 m2</t>
  </si>
  <si>
    <t>Miniguaçu</t>
  </si>
  <si>
    <t>36340 m2</t>
  </si>
  <si>
    <t>Marrecas</t>
  </si>
  <si>
    <t>Água Branca</t>
  </si>
  <si>
    <t>1090 m2</t>
  </si>
  <si>
    <t>Nossa Senhora</t>
  </si>
  <si>
    <t>Industrial</t>
  </si>
  <si>
    <t>396 m2</t>
  </si>
  <si>
    <t>Capanema</t>
  </si>
  <si>
    <t>São José Operário</t>
  </si>
  <si>
    <t>Realeza</t>
  </si>
  <si>
    <t>320 m2</t>
  </si>
  <si>
    <t>Vila Isabel</t>
  </si>
  <si>
    <t>944 m2</t>
  </si>
  <si>
    <t>1847 m2</t>
  </si>
  <si>
    <t>Morro da Cruz</t>
  </si>
  <si>
    <t>São Luiz</t>
  </si>
  <si>
    <t>1015 m2</t>
  </si>
  <si>
    <t>Manguerinha</t>
  </si>
  <si>
    <t>Mangueirinha II</t>
  </si>
  <si>
    <t>Dorini</t>
  </si>
  <si>
    <t>Alvorada</t>
  </si>
  <si>
    <t>IGP-M</t>
  </si>
  <si>
    <t>INPC</t>
  </si>
  <si>
    <t>IPCA</t>
  </si>
  <si>
    <t>Cambé</t>
  </si>
  <si>
    <t>Jardim Terra Vermelha</t>
  </si>
  <si>
    <t>Loteamento Água da Esperança</t>
  </si>
  <si>
    <t>468 m2</t>
  </si>
  <si>
    <t>Rua Isaltino Nascimento dos Santos</t>
  </si>
  <si>
    <t>Padre Josimo</t>
  </si>
  <si>
    <t>Cidade Universitária</t>
  </si>
  <si>
    <t>Luther King</t>
  </si>
  <si>
    <t>Fraron</t>
  </si>
  <si>
    <t>Rua Prefeito Tomazoni</t>
  </si>
  <si>
    <t>1606 m2</t>
  </si>
  <si>
    <t>Parque Verde</t>
  </si>
  <si>
    <t>1991 m2</t>
  </si>
  <si>
    <t>Interlagos</t>
  </si>
  <si>
    <t>523,9575 m2</t>
  </si>
  <si>
    <t>Jardim Pancera</t>
  </si>
  <si>
    <t>César Park</t>
  </si>
  <si>
    <t xml:space="preserve">Tocantins </t>
  </si>
  <si>
    <t>2000 m2</t>
  </si>
  <si>
    <t>697 m2</t>
  </si>
  <si>
    <t>Jardim Cityoar</t>
  </si>
  <si>
    <t>Jardim Belvedere II</t>
  </si>
  <si>
    <t>Pilar Parque Campestre</t>
  </si>
  <si>
    <t>Jardim Copacabana</t>
  </si>
  <si>
    <t>Campos do Iguaçu</t>
  </si>
  <si>
    <t>14545 m2</t>
  </si>
  <si>
    <t>União</t>
  </si>
  <si>
    <t>Prudentópolis</t>
  </si>
  <si>
    <t>Jardim Delmira</t>
  </si>
  <si>
    <t>c/ 4 quartos</t>
  </si>
  <si>
    <t>Pitanga</t>
  </si>
  <si>
    <t>Pitanguinha</t>
  </si>
  <si>
    <t>Maria do Carmo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</si>
</sst>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R$&quot;* #,##0.00_-;\-&quot;R$&quot;* #,##0.00_-;_-&quot;R$&quot;* &quot;-&quot;??_-;_-@_-"/>
    <numFmt numFmtId="165" formatCode="&quot;f=&quot;0.00"/>
    <numFmt numFmtId="166" formatCode="#,##0.00;[Red]#,##0.00"/>
    <numFmt numFmtId="167" formatCode="00"/>
    <numFmt numFmtId="168" formatCode="&quot;R$&quot;\ #,##0.00"/>
    <numFmt numFmtId="169" formatCode="#,##0.0000"/>
    <numFmt numFmtId="170" formatCode="0.000"/>
  </numFmts>
  <fonts count="33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Arial"/>
      <family val="2"/>
    </font>
    <font>
      <b/>
      <u/>
      <sz val="15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8"/>
      <color rgb="FF00B050"/>
      <name val="Arial"/>
      <family val="2"/>
    </font>
    <font>
      <sz val="8"/>
      <color rgb="FF1E824C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b/>
      <sz val="8"/>
      <color rgb="FF00B05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824C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BA4FE"/>
        <bgColor indexed="64"/>
      </patternFill>
    </fill>
    <fill>
      <patternFill patternType="solid">
        <fgColor rgb="FF89C5E3"/>
        <bgColor indexed="64"/>
      </patternFill>
    </fill>
    <fill>
      <patternFill patternType="solid">
        <fgColor rgb="FFFBABEC"/>
        <bgColor indexed="64"/>
      </patternFill>
    </fill>
    <fill>
      <patternFill patternType="solid">
        <fgColor theme="8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38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4" borderId="14" xfId="0" applyFont="1" applyFill="1" applyBorder="1" applyAlignment="1">
      <alignment horizontal="center" vertical="top"/>
    </xf>
    <xf numFmtId="0" fontId="4" fillId="0" borderId="14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top"/>
    </xf>
    <xf numFmtId="0" fontId="6" fillId="3" borderId="0" xfId="0" applyFont="1" applyFill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 shrinkToFit="1"/>
    </xf>
    <xf numFmtId="4" fontId="2" fillId="0" borderId="1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shrinkToFit="1"/>
    </xf>
    <xf numFmtId="2" fontId="4" fillId="0" borderId="14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center" shrinkToFit="1"/>
    </xf>
    <xf numFmtId="165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shrinkToFit="1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5" borderId="15" xfId="0" applyFont="1" applyFill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 indent="8"/>
    </xf>
    <xf numFmtId="0" fontId="9" fillId="0" borderId="0" xfId="0" applyFont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0" fillId="5" borderId="15" xfId="0" applyFont="1" applyFill="1" applyBorder="1" applyAlignment="1">
      <alignment vertical="center" wrapText="1"/>
    </xf>
    <xf numFmtId="0" fontId="10" fillId="5" borderId="1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shrinkToFit="1"/>
    </xf>
    <xf numFmtId="4" fontId="13" fillId="0" borderId="1" xfId="0" applyNumberFormat="1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4" fontId="14" fillId="0" borderId="1" xfId="0" applyNumberFormat="1" applyFont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0" fillId="0" borderId="0" xfId="0"/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" fontId="2" fillId="0" borderId="43" xfId="0" applyNumberFormat="1" applyFont="1" applyBorder="1" applyAlignment="1">
      <alignment horizontal="right" vertical="center" shrinkToFit="1"/>
    </xf>
    <xf numFmtId="0" fontId="20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shrinkToFit="1"/>
    </xf>
    <xf numFmtId="0" fontId="5" fillId="4" borderId="34" xfId="0" applyFont="1" applyFill="1" applyBorder="1" applyAlignment="1">
      <alignment horizontal="center" vertical="top"/>
    </xf>
    <xf numFmtId="4" fontId="4" fillId="0" borderId="14" xfId="0" applyNumberFormat="1" applyFont="1" applyBorder="1" applyAlignment="1">
      <alignment horizontal="right" vertical="top"/>
    </xf>
    <xf numFmtId="4" fontId="5" fillId="7" borderId="0" xfId="0" applyNumberFormat="1" applyFont="1" applyFill="1" applyAlignment="1">
      <alignment horizontal="center" vertical="top"/>
    </xf>
    <xf numFmtId="0" fontId="13" fillId="0" borderId="1" xfId="0" applyFont="1" applyBorder="1" applyAlignment="1">
      <alignment horizontal="left" vertical="center" wrapText="1"/>
    </xf>
    <xf numFmtId="4" fontId="19" fillId="6" borderId="1" xfId="0" applyNumberFormat="1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right" vertical="top"/>
    </xf>
    <xf numFmtId="167" fontId="18" fillId="6" borderId="0" xfId="0" applyNumberFormat="1" applyFont="1" applyFill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2" fontId="6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4" fontId="16" fillId="2" borderId="40" xfId="1" applyNumberFormat="1" applyFont="1" applyFill="1" applyBorder="1" applyAlignment="1">
      <alignment horizontal="center" vertical="center"/>
    </xf>
    <xf numFmtId="4" fontId="16" fillId="2" borderId="41" xfId="1" applyNumberFormat="1" applyFont="1" applyFill="1" applyBorder="1" applyAlignment="1">
      <alignment horizontal="center" vertical="center"/>
    </xf>
    <xf numFmtId="0" fontId="0" fillId="0" borderId="31" xfId="0" applyBorder="1"/>
    <xf numFmtId="4" fontId="0" fillId="0" borderId="31" xfId="0" applyNumberFormat="1" applyBorder="1"/>
    <xf numFmtId="4" fontId="28" fillId="0" borderId="31" xfId="0" applyNumberFormat="1" applyFont="1" applyBorder="1"/>
    <xf numFmtId="4" fontId="28" fillId="0" borderId="31" xfId="0" applyNumberFormat="1" applyFont="1" applyBorder="1" applyAlignment="1">
      <alignment horizontal="center"/>
    </xf>
    <xf numFmtId="4" fontId="28" fillId="0" borderId="51" xfId="0" applyNumberFormat="1" applyFont="1" applyBorder="1" applyAlignment="1">
      <alignment horizontal="right"/>
    </xf>
    <xf numFmtId="0" fontId="0" fillId="0" borderId="33" xfId="0" applyBorder="1"/>
    <xf numFmtId="4" fontId="0" fillId="0" borderId="33" xfId="0" applyNumberFormat="1" applyBorder="1"/>
    <xf numFmtId="4" fontId="28" fillId="0" borderId="33" xfId="0" applyNumberFormat="1" applyFont="1" applyBorder="1" applyAlignment="1">
      <alignment horizontal="center"/>
    </xf>
    <xf numFmtId="4" fontId="28" fillId="0" borderId="30" xfId="0" applyNumberFormat="1" applyFont="1" applyBorder="1" applyAlignment="1">
      <alignment horizontal="right"/>
    </xf>
    <xf numFmtId="4" fontId="28" fillId="0" borderId="33" xfId="0" applyNumberFormat="1" applyFont="1" applyBorder="1"/>
    <xf numFmtId="0" fontId="0" fillId="0" borderId="35" xfId="0" applyBorder="1"/>
    <xf numFmtId="4" fontId="0" fillId="0" borderId="35" xfId="0" applyNumberFormat="1" applyBorder="1"/>
    <xf numFmtId="4" fontId="28" fillId="0" borderId="35" xfId="0" applyNumberFormat="1" applyFont="1" applyBorder="1"/>
    <xf numFmtId="4" fontId="28" fillId="0" borderId="35" xfId="0" applyNumberFormat="1" applyFont="1" applyBorder="1" applyAlignment="1">
      <alignment horizontal="center"/>
    </xf>
    <xf numFmtId="4" fontId="28" fillId="0" borderId="52" xfId="0" applyNumberFormat="1" applyFont="1" applyBorder="1" applyAlignment="1">
      <alignment horizontal="right"/>
    </xf>
    <xf numFmtId="0" fontId="28" fillId="0" borderId="34" xfId="0" applyFont="1" applyBorder="1"/>
    <xf numFmtId="4" fontId="0" fillId="0" borderId="33" xfId="0" applyNumberFormat="1" applyBorder="1" applyAlignment="1">
      <alignment horizontal="center"/>
    </xf>
    <xf numFmtId="4" fontId="0" fillId="0" borderId="30" xfId="0" applyNumberFormat="1" applyBorder="1" applyAlignment="1">
      <alignment horizontal="right"/>
    </xf>
    <xf numFmtId="0" fontId="0" fillId="0" borderId="34" xfId="0" applyBorder="1"/>
    <xf numFmtId="4" fontId="0" fillId="0" borderId="34" xfId="0" applyNumberFormat="1" applyBorder="1"/>
    <xf numFmtId="4" fontId="0" fillId="0" borderId="34" xfId="0" applyNumberFormat="1" applyBorder="1" applyAlignment="1">
      <alignment horizontal="center"/>
    </xf>
    <xf numFmtId="4" fontId="0" fillId="0" borderId="37" xfId="0" applyNumberFormat="1" applyBorder="1" applyAlignment="1">
      <alignment horizontal="right"/>
    </xf>
    <xf numFmtId="4" fontId="29" fillId="0" borderId="33" xfId="0" applyNumberFormat="1" applyFont="1" applyBorder="1"/>
    <xf numFmtId="0" fontId="28" fillId="0" borderId="33" xfId="0" applyFont="1" applyBorder="1"/>
    <xf numFmtId="4" fontId="28" fillId="0" borderId="34" xfId="0" applyNumberFormat="1" applyFont="1" applyBorder="1"/>
    <xf numFmtId="4" fontId="27" fillId="0" borderId="34" xfId="0" applyNumberFormat="1" applyFont="1" applyBorder="1"/>
    <xf numFmtId="4" fontId="28" fillId="0" borderId="34" xfId="0" applyNumberFormat="1" applyFont="1" applyBorder="1" applyAlignment="1">
      <alignment horizontal="center"/>
    </xf>
    <xf numFmtId="4" fontId="28" fillId="0" borderId="37" xfId="0" applyNumberFormat="1" applyFont="1" applyBorder="1" applyAlignment="1">
      <alignment horizontal="right"/>
    </xf>
    <xf numFmtId="4" fontId="27" fillId="0" borderId="33" xfId="0" applyNumberFormat="1" applyFont="1" applyBorder="1"/>
    <xf numFmtId="4" fontId="27" fillId="0" borderId="33" xfId="0" applyNumberFormat="1" applyFont="1" applyBorder="1" applyAlignment="1">
      <alignment horizontal="center"/>
    </xf>
    <xf numFmtId="4" fontId="27" fillId="0" borderId="30" xfId="0" applyNumberFormat="1" applyFont="1" applyBorder="1" applyAlignment="1">
      <alignment horizontal="right"/>
    </xf>
    <xf numFmtId="0" fontId="27" fillId="0" borderId="35" xfId="0" applyFont="1" applyBorder="1"/>
    <xf numFmtId="0" fontId="28" fillId="0" borderId="35" xfId="0" applyFont="1" applyBorder="1"/>
    <xf numFmtId="4" fontId="27" fillId="0" borderId="35" xfId="0" applyNumberFormat="1" applyFont="1" applyBorder="1"/>
    <xf numFmtId="4" fontId="27" fillId="0" borderId="35" xfId="0" applyNumberFormat="1" applyFont="1" applyBorder="1" applyAlignment="1">
      <alignment horizontal="center"/>
    </xf>
    <xf numFmtId="4" fontId="27" fillId="0" borderId="52" xfId="0" applyNumberFormat="1" applyFont="1" applyBorder="1" applyAlignment="1">
      <alignment horizontal="right"/>
    </xf>
    <xf numFmtId="0" fontId="27" fillId="0" borderId="33" xfId="0" applyFont="1" applyBorder="1"/>
    <xf numFmtId="0" fontId="0" fillId="0" borderId="34" xfId="0" applyFill="1" applyBorder="1"/>
    <xf numFmtId="0" fontId="0" fillId="0" borderId="33" xfId="0" applyFill="1" applyBorder="1"/>
    <xf numFmtId="0" fontId="0" fillId="0" borderId="35" xfId="0" applyFill="1" applyBorder="1"/>
    <xf numFmtId="4" fontId="0" fillId="0" borderId="35" xfId="0" applyNumberFormat="1" applyBorder="1" applyAlignment="1">
      <alignment horizontal="center"/>
    </xf>
    <xf numFmtId="4" fontId="0" fillId="0" borderId="52" xfId="0" applyNumberFormat="1" applyBorder="1" applyAlignment="1">
      <alignment horizontal="right"/>
    </xf>
    <xf numFmtId="0" fontId="28" fillId="0" borderId="33" xfId="0" applyFont="1" applyFill="1" applyBorder="1"/>
    <xf numFmtId="0" fontId="28" fillId="0" borderId="35" xfId="0" applyFont="1" applyFill="1" applyBorder="1"/>
    <xf numFmtId="0" fontId="0" fillId="6" borderId="23" xfId="0" applyFill="1" applyBorder="1"/>
    <xf numFmtId="166" fontId="17" fillId="6" borderId="24" xfId="1" applyNumberFormat="1" applyFont="1" applyFill="1" applyBorder="1" applyAlignment="1">
      <alignment horizontal="center" vertical="center"/>
    </xf>
    <xf numFmtId="4" fontId="0" fillId="6" borderId="24" xfId="0" applyNumberFormat="1" applyFill="1" applyBorder="1"/>
    <xf numFmtId="4" fontId="0" fillId="6" borderId="24" xfId="0" applyNumberFormat="1" applyFill="1" applyBorder="1" applyAlignment="1">
      <alignment horizontal="center"/>
    </xf>
    <xf numFmtId="166" fontId="17" fillId="6" borderId="25" xfId="1" applyNumberFormat="1" applyFont="1" applyFill="1" applyBorder="1" applyAlignment="1">
      <alignment horizontal="center" vertical="center"/>
    </xf>
    <xf numFmtId="0" fontId="0" fillId="8" borderId="23" xfId="0" applyFill="1" applyBorder="1"/>
    <xf numFmtId="0" fontId="16" fillId="8" borderId="24" xfId="0" applyFont="1" applyFill="1" applyBorder="1" applyAlignment="1">
      <alignment horizontal="center"/>
    </xf>
    <xf numFmtId="166" fontId="17" fillId="8" borderId="24" xfId="1" applyNumberFormat="1" applyFont="1" applyFill="1" applyBorder="1" applyAlignment="1">
      <alignment horizontal="center" vertical="center"/>
    </xf>
    <xf numFmtId="4" fontId="0" fillId="8" borderId="24" xfId="0" applyNumberFormat="1" applyFill="1" applyBorder="1"/>
    <xf numFmtId="4" fontId="0" fillId="8" borderId="24" xfId="0" applyNumberFormat="1" applyFill="1" applyBorder="1" applyAlignment="1">
      <alignment horizontal="center"/>
    </xf>
    <xf numFmtId="166" fontId="17" fillId="8" borderId="25" xfId="1" applyNumberFormat="1" applyFont="1" applyFill="1" applyBorder="1" applyAlignment="1">
      <alignment horizontal="center" vertical="center"/>
    </xf>
    <xf numFmtId="0" fontId="0" fillId="0" borderId="33" xfId="0" applyFont="1" applyBorder="1"/>
    <xf numFmtId="0" fontId="0" fillId="0" borderId="33" xfId="0" applyFont="1" applyFill="1" applyBorder="1"/>
    <xf numFmtId="4" fontId="0" fillId="0" borderId="33" xfId="0" applyNumberFormat="1" applyFont="1" applyBorder="1"/>
    <xf numFmtId="4" fontId="0" fillId="0" borderId="33" xfId="0" applyNumberFormat="1" applyFont="1" applyBorder="1" applyAlignment="1">
      <alignment horizontal="center"/>
    </xf>
    <xf numFmtId="4" fontId="0" fillId="0" borderId="30" xfId="0" applyNumberFormat="1" applyFont="1" applyBorder="1" applyAlignment="1">
      <alignment horizontal="right"/>
    </xf>
    <xf numFmtId="0" fontId="0" fillId="0" borderId="35" xfId="0" applyFont="1" applyBorder="1"/>
    <xf numFmtId="4" fontId="0" fillId="0" borderId="35" xfId="0" applyNumberFormat="1" applyFont="1" applyBorder="1"/>
    <xf numFmtId="4" fontId="0" fillId="0" borderId="35" xfId="0" applyNumberFormat="1" applyFont="1" applyBorder="1" applyAlignment="1">
      <alignment horizontal="center"/>
    </xf>
    <xf numFmtId="4" fontId="0" fillId="0" borderId="52" xfId="0" applyNumberFormat="1" applyFont="1" applyBorder="1" applyAlignment="1">
      <alignment horizontal="right"/>
    </xf>
    <xf numFmtId="0" fontId="0" fillId="0" borderId="34" xfId="0" applyFont="1" applyBorder="1"/>
    <xf numFmtId="0" fontId="0" fillId="0" borderId="34" xfId="0" applyFont="1" applyFill="1" applyBorder="1"/>
    <xf numFmtId="4" fontId="0" fillId="0" borderId="34" xfId="0" applyNumberFormat="1" applyFont="1" applyBorder="1"/>
    <xf numFmtId="4" fontId="0" fillId="0" borderId="34" xfId="0" applyNumberFormat="1" applyFont="1" applyBorder="1" applyAlignment="1">
      <alignment horizontal="center"/>
    </xf>
    <xf numFmtId="4" fontId="0" fillId="0" borderId="37" xfId="0" applyNumberFormat="1" applyFont="1" applyBorder="1" applyAlignment="1">
      <alignment horizontal="right"/>
    </xf>
    <xf numFmtId="0" fontId="0" fillId="0" borderId="35" xfId="0" applyFont="1" applyFill="1" applyBorder="1"/>
    <xf numFmtId="0" fontId="0" fillId="0" borderId="42" xfId="0" applyFont="1" applyBorder="1"/>
    <xf numFmtId="4" fontId="0" fillId="0" borderId="42" xfId="0" applyNumberFormat="1" applyFont="1" applyBorder="1"/>
    <xf numFmtId="4" fontId="0" fillId="0" borderId="42" xfId="0" applyNumberFormat="1" applyFont="1" applyBorder="1" applyAlignment="1">
      <alignment horizontal="center"/>
    </xf>
    <xf numFmtId="4" fontId="0" fillId="0" borderId="55" xfId="0" applyNumberFormat="1" applyFont="1" applyBorder="1" applyAlignment="1">
      <alignment horizontal="right"/>
    </xf>
    <xf numFmtId="0" fontId="0" fillId="9" borderId="23" xfId="0" applyFont="1" applyFill="1" applyBorder="1"/>
    <xf numFmtId="166" fontId="17" fillId="9" borderId="24" xfId="1" applyNumberFormat="1" applyFont="1" applyFill="1" applyBorder="1" applyAlignment="1">
      <alignment horizontal="center" vertical="center"/>
    </xf>
    <xf numFmtId="4" fontId="0" fillId="9" borderId="24" xfId="0" applyNumberFormat="1" applyFont="1" applyFill="1" applyBorder="1"/>
    <xf numFmtId="4" fontId="0" fillId="9" borderId="24" xfId="0" applyNumberFormat="1" applyFont="1" applyFill="1" applyBorder="1" applyAlignment="1">
      <alignment horizontal="center"/>
    </xf>
    <xf numFmtId="166" fontId="17" fillId="9" borderId="25" xfId="1" applyNumberFormat="1" applyFont="1" applyFill="1" applyBorder="1" applyAlignment="1">
      <alignment horizontal="center" vertical="center"/>
    </xf>
    <xf numFmtId="0" fontId="0" fillId="0" borderId="31" xfId="0" applyFont="1" applyBorder="1"/>
    <xf numFmtId="0" fontId="0" fillId="0" borderId="31" xfId="0" applyFont="1" applyFill="1" applyBorder="1"/>
    <xf numFmtId="4" fontId="0" fillId="0" borderId="31" xfId="0" applyNumberFormat="1" applyFont="1" applyBorder="1"/>
    <xf numFmtId="4" fontId="0" fillId="0" borderId="31" xfId="0" applyNumberFormat="1" applyFont="1" applyBorder="1" applyAlignment="1">
      <alignment horizontal="center"/>
    </xf>
    <xf numFmtId="4" fontId="0" fillId="0" borderId="51" xfId="0" applyNumberFormat="1" applyFont="1" applyBorder="1" applyAlignment="1">
      <alignment horizontal="right"/>
    </xf>
    <xf numFmtId="4" fontId="27" fillId="0" borderId="34" xfId="0" applyNumberFormat="1" applyFont="1" applyBorder="1" applyAlignment="1">
      <alignment horizontal="center"/>
    </xf>
    <xf numFmtId="4" fontId="27" fillId="0" borderId="37" xfId="0" applyNumberFormat="1" applyFont="1" applyBorder="1" applyAlignment="1">
      <alignment horizontal="right"/>
    </xf>
    <xf numFmtId="4" fontId="27" fillId="0" borderId="37" xfId="0" applyNumberFormat="1" applyFont="1" applyBorder="1" applyAlignment="1"/>
    <xf numFmtId="4" fontId="27" fillId="0" borderId="30" xfId="0" applyNumberFormat="1" applyFont="1" applyBorder="1" applyAlignment="1"/>
    <xf numFmtId="4" fontId="27" fillId="0" borderId="52" xfId="0" applyNumberFormat="1" applyFont="1" applyBorder="1" applyAlignment="1"/>
    <xf numFmtId="4" fontId="27" fillId="0" borderId="42" xfId="0" applyNumberFormat="1" applyFont="1" applyBorder="1"/>
    <xf numFmtId="4" fontId="27" fillId="0" borderId="42" xfId="0" applyNumberFormat="1" applyFont="1" applyBorder="1" applyAlignment="1">
      <alignment horizontal="center"/>
    </xf>
    <xf numFmtId="4" fontId="27" fillId="0" borderId="55" xfId="0" applyNumberFormat="1" applyFont="1" applyBorder="1" applyAlignment="1"/>
    <xf numFmtId="0" fontId="0" fillId="10" borderId="23" xfId="0" applyFont="1" applyFill="1" applyBorder="1"/>
    <xf numFmtId="166" fontId="17" fillId="10" borderId="24" xfId="1" applyNumberFormat="1" applyFont="1" applyFill="1" applyBorder="1" applyAlignment="1">
      <alignment horizontal="center" vertical="center"/>
    </xf>
    <xf numFmtId="4" fontId="0" fillId="10" borderId="24" xfId="0" applyNumberFormat="1" applyFont="1" applyFill="1" applyBorder="1"/>
    <xf numFmtId="4" fontId="0" fillId="10" borderId="24" xfId="0" applyNumberFormat="1" applyFont="1" applyFill="1" applyBorder="1" applyAlignment="1">
      <alignment horizontal="center"/>
    </xf>
    <xf numFmtId="166" fontId="17" fillId="10" borderId="25" xfId="1" applyNumberFormat="1" applyFont="1" applyFill="1" applyBorder="1" applyAlignment="1">
      <alignment horizontal="center" vertical="center"/>
    </xf>
    <xf numFmtId="0" fontId="0" fillId="0" borderId="42" xfId="0" applyFont="1" applyFill="1" applyBorder="1"/>
    <xf numFmtId="0" fontId="0" fillId="8" borderId="23" xfId="0" applyFont="1" applyFill="1" applyBorder="1"/>
    <xf numFmtId="4" fontId="0" fillId="8" borderId="24" xfId="0" applyNumberFormat="1" applyFont="1" applyFill="1" applyBorder="1"/>
    <xf numFmtId="4" fontId="0" fillId="8" borderId="24" xfId="0" applyNumberFormat="1" applyFont="1" applyFill="1" applyBorder="1" applyAlignment="1">
      <alignment horizontal="center"/>
    </xf>
    <xf numFmtId="0" fontId="0" fillId="0" borderId="38" xfId="0" applyFont="1" applyBorder="1"/>
    <xf numFmtId="0" fontId="27" fillId="0" borderId="36" xfId="0" applyFont="1" applyBorder="1"/>
    <xf numFmtId="0" fontId="0" fillId="3" borderId="34" xfId="0" applyFont="1" applyFill="1" applyBorder="1"/>
    <xf numFmtId="0" fontId="0" fillId="11" borderId="23" xfId="0" applyFill="1" applyBorder="1"/>
    <xf numFmtId="166" fontId="17" fillId="11" borderId="24" xfId="1" applyNumberFormat="1" applyFont="1" applyFill="1" applyBorder="1" applyAlignment="1">
      <alignment horizontal="center" vertical="center"/>
    </xf>
    <xf numFmtId="4" fontId="0" fillId="11" borderId="24" xfId="0" applyNumberFormat="1" applyFill="1" applyBorder="1"/>
    <xf numFmtId="4" fontId="0" fillId="11" borderId="24" xfId="0" applyNumberFormat="1" applyFill="1" applyBorder="1" applyAlignment="1">
      <alignment horizontal="center"/>
    </xf>
    <xf numFmtId="166" fontId="17" fillId="11" borderId="25" xfId="1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6" fillId="2" borderId="58" xfId="0" applyFont="1" applyFill="1" applyBorder="1" applyAlignment="1">
      <alignment horizontal="center" vertical="center"/>
    </xf>
    <xf numFmtId="166" fontId="16" fillId="2" borderId="39" xfId="1" applyNumberFormat="1" applyFont="1" applyFill="1" applyBorder="1" applyAlignment="1">
      <alignment horizontal="center" vertical="center"/>
    </xf>
    <xf numFmtId="166" fontId="16" fillId="2" borderId="58" xfId="1" applyNumberFormat="1" applyFont="1" applyFill="1" applyBorder="1" applyAlignment="1">
      <alignment horizontal="right" vertical="center"/>
    </xf>
    <xf numFmtId="166" fontId="16" fillId="2" borderId="24" xfId="1" applyNumberFormat="1" applyFont="1" applyFill="1" applyBorder="1" applyAlignment="1">
      <alignment horizontal="right" vertical="center"/>
    </xf>
    <xf numFmtId="166" fontId="16" fillId="2" borderId="25" xfId="1" applyNumberFormat="1" applyFont="1" applyFill="1" applyBorder="1" applyAlignment="1">
      <alignment horizontal="center" vertical="center"/>
    </xf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30" fillId="0" borderId="0" xfId="0" applyNumberFormat="1" applyFont="1" applyAlignment="1">
      <alignment horizontal="center"/>
    </xf>
    <xf numFmtId="169" fontId="0" fillId="0" borderId="0" xfId="0" applyNumberFormat="1"/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4" fontId="11" fillId="12" borderId="1" xfId="0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4" fontId="15" fillId="0" borderId="34" xfId="0" applyNumberFormat="1" applyFont="1" applyBorder="1" applyAlignment="1">
      <alignment horizontal="center"/>
    </xf>
    <xf numFmtId="4" fontId="15" fillId="0" borderId="33" xfId="0" applyNumberFormat="1" applyFont="1" applyBorder="1"/>
    <xf numFmtId="4" fontId="15" fillId="0" borderId="33" xfId="0" applyNumberFormat="1" applyFont="1" applyBorder="1" applyAlignment="1">
      <alignment horizontal="center"/>
    </xf>
    <xf numFmtId="4" fontId="15" fillId="0" borderId="34" xfId="0" applyNumberFormat="1" applyFont="1" applyBorder="1"/>
    <xf numFmtId="4" fontId="31" fillId="0" borderId="34" xfId="0" applyNumberFormat="1" applyFont="1" applyBorder="1"/>
    <xf numFmtId="4" fontId="31" fillId="0" borderId="34" xfId="0" applyNumberFormat="1" applyFont="1" applyBorder="1" applyAlignment="1">
      <alignment horizontal="center"/>
    </xf>
    <xf numFmtId="4" fontId="31" fillId="0" borderId="37" xfId="0" applyNumberFormat="1" applyFont="1" applyBorder="1" applyAlignment="1">
      <alignment horizontal="right"/>
    </xf>
    <xf numFmtId="4" fontId="31" fillId="0" borderId="33" xfId="0" applyNumberFormat="1" applyFont="1" applyBorder="1"/>
    <xf numFmtId="4" fontId="31" fillId="0" borderId="33" xfId="0" applyNumberFormat="1" applyFont="1" applyBorder="1" applyAlignment="1">
      <alignment horizontal="center"/>
    </xf>
    <xf numFmtId="4" fontId="31" fillId="0" borderId="30" xfId="0" applyNumberFormat="1" applyFont="1" applyBorder="1" applyAlignment="1">
      <alignment horizontal="right"/>
    </xf>
    <xf numFmtId="0" fontId="32" fillId="0" borderId="31" xfId="0" applyFont="1" applyFill="1" applyBorder="1"/>
    <xf numFmtId="0" fontId="32" fillId="0" borderId="33" xfId="0" applyFont="1" applyFill="1" applyBorder="1"/>
    <xf numFmtId="0" fontId="32" fillId="0" borderId="35" xfId="0" applyFont="1" applyFill="1" applyBorder="1"/>
    <xf numFmtId="0" fontId="32" fillId="0" borderId="42" xfId="0" applyFont="1" applyFill="1" applyBorder="1"/>
    <xf numFmtId="4" fontId="32" fillId="0" borderId="31" xfId="0" applyNumberFormat="1" applyFont="1" applyFill="1" applyBorder="1"/>
    <xf numFmtId="4" fontId="31" fillId="0" borderId="31" xfId="0" applyNumberFormat="1" applyFont="1" applyFill="1" applyBorder="1"/>
    <xf numFmtId="4" fontId="31" fillId="0" borderId="31" xfId="0" applyNumberFormat="1" applyFont="1" applyFill="1" applyBorder="1" applyAlignment="1">
      <alignment horizontal="center"/>
    </xf>
    <xf numFmtId="4" fontId="32" fillId="0" borderId="51" xfId="0" applyNumberFormat="1" applyFont="1" applyFill="1" applyBorder="1" applyAlignment="1"/>
    <xf numFmtId="4" fontId="32" fillId="0" borderId="33" xfId="0" applyNumberFormat="1" applyFont="1" applyFill="1" applyBorder="1"/>
    <xf numFmtId="4" fontId="31" fillId="0" borderId="33" xfId="0" applyNumberFormat="1" applyFont="1" applyFill="1" applyBorder="1"/>
    <xf numFmtId="4" fontId="31" fillId="0" borderId="33" xfId="0" applyNumberFormat="1" applyFont="1" applyFill="1" applyBorder="1" applyAlignment="1">
      <alignment horizontal="center"/>
    </xf>
    <xf numFmtId="4" fontId="32" fillId="0" borderId="30" xfId="0" applyNumberFormat="1" applyFont="1" applyFill="1" applyBorder="1" applyAlignment="1"/>
    <xf numFmtId="4" fontId="32" fillId="0" borderId="33" xfId="0" applyNumberFormat="1" applyFont="1" applyFill="1" applyBorder="1" applyAlignment="1">
      <alignment horizontal="center"/>
    </xf>
    <xf numFmtId="0" fontId="32" fillId="0" borderId="34" xfId="0" applyFont="1" applyFill="1" applyBorder="1"/>
    <xf numFmtId="4" fontId="32" fillId="0" borderId="34" xfId="0" applyNumberFormat="1" applyFont="1" applyFill="1" applyBorder="1"/>
    <xf numFmtId="4" fontId="32" fillId="0" borderId="34" xfId="0" applyNumberFormat="1" applyFont="1" applyFill="1" applyBorder="1" applyAlignment="1">
      <alignment horizontal="center"/>
    </xf>
    <xf numFmtId="4" fontId="32" fillId="0" borderId="37" xfId="0" applyNumberFormat="1" applyFont="1" applyFill="1" applyBorder="1" applyAlignment="1"/>
    <xf numFmtId="0" fontId="31" fillId="0" borderId="33" xfId="0" applyFont="1" applyFill="1" applyBorder="1"/>
    <xf numFmtId="4" fontId="31" fillId="0" borderId="30" xfId="0" applyNumberFormat="1" applyFont="1" applyFill="1" applyBorder="1" applyAlignment="1"/>
    <xf numFmtId="4" fontId="28" fillId="0" borderId="34" xfId="0" applyNumberFormat="1" applyFont="1" applyFill="1" applyBorder="1"/>
    <xf numFmtId="4" fontId="28" fillId="0" borderId="34" xfId="0" applyNumberFormat="1" applyFont="1" applyFill="1" applyBorder="1" applyAlignment="1">
      <alignment horizontal="center"/>
    </xf>
    <xf numFmtId="4" fontId="28" fillId="0" borderId="37" xfId="0" applyNumberFormat="1" applyFont="1" applyFill="1" applyBorder="1" applyAlignment="1"/>
    <xf numFmtId="4" fontId="28" fillId="0" borderId="33" xfId="0" applyNumberFormat="1" applyFont="1" applyFill="1" applyBorder="1"/>
    <xf numFmtId="4" fontId="28" fillId="0" borderId="33" xfId="0" applyNumberFormat="1" applyFont="1" applyFill="1" applyBorder="1" applyAlignment="1">
      <alignment horizontal="center"/>
    </xf>
    <xf numFmtId="4" fontId="28" fillId="0" borderId="30" xfId="0" applyNumberFormat="1" applyFont="1" applyFill="1" applyBorder="1" applyAlignment="1"/>
    <xf numFmtId="4" fontId="31" fillId="0" borderId="34" xfId="0" applyNumberFormat="1" applyFont="1" applyFill="1" applyBorder="1"/>
    <xf numFmtId="4" fontId="31" fillId="0" borderId="34" xfId="0" applyNumberFormat="1" applyFont="1" applyFill="1" applyBorder="1" applyAlignment="1">
      <alignment horizontal="center"/>
    </xf>
    <xf numFmtId="4" fontId="31" fillId="0" borderId="37" xfId="0" applyNumberFormat="1" applyFont="1" applyFill="1" applyBorder="1" applyAlignment="1"/>
    <xf numFmtId="0" fontId="32" fillId="0" borderId="57" xfId="0" applyFont="1" applyFill="1" applyBorder="1"/>
    <xf numFmtId="0" fontId="32" fillId="0" borderId="29" xfId="0" applyFont="1" applyFill="1" applyBorder="1"/>
    <xf numFmtId="0" fontId="31" fillId="0" borderId="34" xfId="0" applyFont="1" applyFill="1" applyBorder="1"/>
    <xf numFmtId="0" fontId="31" fillId="0" borderId="35" xfId="0" applyFont="1" applyFill="1" applyBorder="1"/>
    <xf numFmtId="4" fontId="32" fillId="0" borderId="35" xfId="0" applyNumberFormat="1" applyFont="1" applyFill="1" applyBorder="1"/>
    <xf numFmtId="4" fontId="32" fillId="0" borderId="35" xfId="0" applyNumberFormat="1" applyFont="1" applyFill="1" applyBorder="1" applyAlignment="1">
      <alignment horizontal="center"/>
    </xf>
    <xf numFmtId="4" fontId="32" fillId="0" borderId="52" xfId="0" applyNumberFormat="1" applyFont="1" applyFill="1" applyBorder="1" applyAlignment="1"/>
    <xf numFmtId="4" fontId="28" fillId="0" borderId="37" xfId="0" applyNumberFormat="1" applyFont="1" applyFill="1" applyBorder="1" applyAlignment="1">
      <alignment horizontal="center"/>
    </xf>
    <xf numFmtId="4" fontId="28" fillId="0" borderId="30" xfId="0" applyNumberFormat="1" applyFont="1" applyFill="1" applyBorder="1" applyAlignment="1">
      <alignment horizontal="center"/>
    </xf>
    <xf numFmtId="4" fontId="32" fillId="0" borderId="42" xfId="0" applyNumberFormat="1" applyFont="1" applyFill="1" applyBorder="1"/>
    <xf numFmtId="4" fontId="28" fillId="0" borderId="42" xfId="0" applyNumberFormat="1" applyFont="1" applyFill="1" applyBorder="1"/>
    <xf numFmtId="4" fontId="28" fillId="0" borderId="42" xfId="0" applyNumberFormat="1" applyFont="1" applyFill="1" applyBorder="1" applyAlignment="1">
      <alignment horizontal="center"/>
    </xf>
    <xf numFmtId="4" fontId="28" fillId="0" borderId="55" xfId="0" applyNumberFormat="1" applyFont="1" applyFill="1" applyBorder="1" applyAlignment="1">
      <alignment horizontal="center"/>
    </xf>
    <xf numFmtId="4" fontId="0" fillId="0" borderId="33" xfId="0" applyNumberFormat="1" applyFont="1" applyFill="1" applyBorder="1"/>
    <xf numFmtId="4" fontId="0" fillId="0" borderId="35" xfId="0" applyNumberFormat="1" applyFont="1" applyFill="1" applyBorder="1"/>
    <xf numFmtId="4" fontId="15" fillId="0" borderId="35" xfId="0" applyNumberFormat="1" applyFont="1" applyBorder="1"/>
    <xf numFmtId="4" fontId="15" fillId="0" borderId="35" xfId="0" applyNumberFormat="1" applyFont="1" applyBorder="1" applyAlignment="1">
      <alignment horizont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shrinkToFit="1"/>
    </xf>
    <xf numFmtId="4" fontId="1" fillId="2" borderId="4" xfId="0" applyNumberFormat="1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11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9" borderId="24" xfId="0" applyFont="1" applyFill="1" applyBorder="1" applyAlignment="1">
      <alignment horizontal="center"/>
    </xf>
    <xf numFmtId="0" fontId="16" fillId="10" borderId="24" xfId="0" applyFont="1" applyFill="1" applyBorder="1" applyAlignment="1">
      <alignment horizontal="center"/>
    </xf>
    <xf numFmtId="0" fontId="16" fillId="8" borderId="24" xfId="0" applyFont="1" applyFill="1" applyBorder="1" applyAlignment="1">
      <alignment horizontal="center"/>
    </xf>
    <xf numFmtId="0" fontId="16" fillId="2" borderId="25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4" fontId="16" fillId="2" borderId="23" xfId="0" applyNumberFormat="1" applyFont="1" applyFill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 wrapText="1"/>
    </xf>
    <xf numFmtId="4" fontId="16" fillId="2" borderId="25" xfId="0" applyNumberFormat="1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  <color rgb="FF008000"/>
      <color rgb="FF1E82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6"/>
  <sheetViews>
    <sheetView showGridLines="0" tabSelected="1" zoomScale="90" zoomScaleNormal="90" zoomScaleSheetLayoutView="110" workbookViewId="0">
      <pane xSplit="6" ySplit="23" topLeftCell="H44" activePane="bottomRight" state="frozen"/>
      <selection pane="topRight" activeCell="G1" sqref="G1"/>
      <selection pane="bottomLeft" activeCell="A24" sqref="A24"/>
      <selection pane="bottomRight" activeCell="O19" sqref="O19:O22"/>
    </sheetView>
  </sheetViews>
  <sheetFormatPr defaultRowHeight="12.75" x14ac:dyDescent="0.2"/>
  <cols>
    <col min="1" max="1" width="53.5" style="15" customWidth="1"/>
    <col min="2" max="2" width="12" style="24" customWidth="1"/>
    <col min="3" max="3" width="12.5" style="15" customWidth="1"/>
    <col min="4" max="4" width="13.83203125" style="15" customWidth="1"/>
    <col min="5" max="5" width="9.83203125" style="15" customWidth="1"/>
    <col min="6" max="6" width="14.1640625" style="24" customWidth="1"/>
    <col min="7" max="7" width="16.1640625" style="15" customWidth="1"/>
    <col min="8" max="8" width="13.1640625" style="15" customWidth="1"/>
    <col min="9" max="9" width="16.1640625" style="15" customWidth="1"/>
    <col min="10" max="10" width="13.1640625" style="15" customWidth="1"/>
    <col min="11" max="11" width="16.1640625" style="15" customWidth="1"/>
    <col min="12" max="12" width="13.33203125" style="15" customWidth="1"/>
    <col min="13" max="13" width="17" style="15" bestFit="1" customWidth="1"/>
    <col min="14" max="14" width="13.1640625" style="15" customWidth="1"/>
    <col min="15" max="15" width="16.83203125" style="15" customWidth="1"/>
    <col min="16" max="16" width="12.83203125" style="15" customWidth="1"/>
    <col min="17" max="17" width="16.5" style="15" customWidth="1"/>
    <col min="18" max="18" width="13.1640625" style="15" customWidth="1"/>
    <col min="19" max="19" width="16.5" style="15" customWidth="1"/>
    <col min="20" max="20" width="13.1640625" style="15" customWidth="1"/>
    <col min="21" max="21" width="16.5" style="15" customWidth="1"/>
    <col min="22" max="22" width="10.1640625" style="15" customWidth="1"/>
    <col min="23" max="23" width="4.1640625" style="15" customWidth="1"/>
    <col min="24" max="16384" width="9.33203125" style="15"/>
  </cols>
  <sheetData>
    <row r="1" spans="1:22" ht="19.5" x14ac:dyDescent="0.2">
      <c r="A1" s="5" t="s">
        <v>0</v>
      </c>
      <c r="B1" s="82"/>
      <c r="C1" s="12"/>
      <c r="D1" s="12"/>
      <c r="E1" s="12"/>
      <c r="F1" s="23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x14ac:dyDescent="0.2">
      <c r="A2" s="5"/>
      <c r="B2" s="82"/>
      <c r="C2" s="56" t="s">
        <v>126</v>
      </c>
      <c r="D2" s="57"/>
      <c r="E2" s="57"/>
      <c r="F2" s="58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8.25" customHeight="1" x14ac:dyDescent="0.2">
      <c r="A3" s="12"/>
      <c r="B3" s="23"/>
      <c r="C3" s="57"/>
      <c r="D3" s="57"/>
      <c r="E3" s="57"/>
      <c r="F3" s="58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2">
      <c r="A4" s="12" t="s">
        <v>41</v>
      </c>
      <c r="B4" s="23"/>
      <c r="C4" s="73">
        <v>1</v>
      </c>
      <c r="D4" s="58" t="str">
        <f>IF(C4=1,"mês","meses")</f>
        <v>mês</v>
      </c>
      <c r="E4" s="56" t="s">
        <v>128</v>
      </c>
      <c r="F4" s="58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x14ac:dyDescent="0.2">
      <c r="A5" s="12"/>
      <c r="B5" s="23"/>
      <c r="C5" s="59"/>
      <c r="D5" s="58"/>
      <c r="E5" s="57"/>
      <c r="F5" s="58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8.25" customHeight="1" x14ac:dyDescent="0.2">
      <c r="A6" s="12"/>
      <c r="B6" s="23"/>
      <c r="C6" s="12"/>
      <c r="D6" s="12"/>
      <c r="E6" s="12"/>
      <c r="F6" s="23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ht="30.75" customHeight="1" x14ac:dyDescent="0.2">
      <c r="A7" s="47" t="s">
        <v>127</v>
      </c>
      <c r="B7" s="83"/>
      <c r="C7" s="311"/>
      <c r="D7" s="311"/>
      <c r="E7" s="311"/>
      <c r="F7" s="23"/>
      <c r="G7" s="87"/>
      <c r="H7" s="12"/>
      <c r="I7" s="281" t="s">
        <v>52</v>
      </c>
      <c r="J7" s="282"/>
      <c r="K7" s="282"/>
      <c r="L7" s="282"/>
      <c r="M7" s="282"/>
      <c r="N7" s="283"/>
      <c r="O7" s="16"/>
      <c r="P7" s="16"/>
      <c r="Q7" s="16"/>
      <c r="R7" s="16"/>
      <c r="S7" s="16"/>
      <c r="T7" s="16"/>
      <c r="U7" s="275" t="s">
        <v>103</v>
      </c>
      <c r="V7" s="276"/>
    </row>
    <row r="8" spans="1:22" ht="48.75" customHeight="1" x14ac:dyDescent="0.2">
      <c r="A8" s="294" t="s">
        <v>1</v>
      </c>
      <c r="B8" s="295"/>
      <c r="C8" s="296" t="s">
        <v>2</v>
      </c>
      <c r="D8" s="302" t="s">
        <v>164</v>
      </c>
      <c r="E8" s="303"/>
      <c r="F8" s="299" t="s">
        <v>74</v>
      </c>
      <c r="G8" s="310" t="s">
        <v>161</v>
      </c>
      <c r="H8" s="303"/>
      <c r="I8" s="284" t="s">
        <v>61</v>
      </c>
      <c r="J8" s="285"/>
      <c r="K8" s="287" t="s">
        <v>62</v>
      </c>
      <c r="L8" s="288"/>
      <c r="M8" s="287" t="s">
        <v>63</v>
      </c>
      <c r="N8" s="288"/>
      <c r="O8" s="279" t="s">
        <v>53</v>
      </c>
      <c r="P8" s="280"/>
      <c r="Q8" s="279" t="s">
        <v>54</v>
      </c>
      <c r="R8" s="280"/>
      <c r="S8" s="279" t="s">
        <v>102</v>
      </c>
      <c r="T8" s="280"/>
      <c r="U8" s="277" t="s">
        <v>105</v>
      </c>
      <c r="V8" s="278"/>
    </row>
    <row r="9" spans="1:22" s="17" customFormat="1" ht="11.25" customHeight="1" x14ac:dyDescent="0.2">
      <c r="A9" s="74"/>
      <c r="B9" s="69"/>
      <c r="C9" s="297"/>
      <c r="D9" s="304"/>
      <c r="E9" s="305"/>
      <c r="F9" s="300"/>
      <c r="G9" s="308" t="s">
        <v>160</v>
      </c>
      <c r="H9" s="309"/>
      <c r="I9" s="286" t="s">
        <v>49</v>
      </c>
      <c r="J9" s="280"/>
      <c r="K9" s="279" t="s">
        <v>50</v>
      </c>
      <c r="L9" s="280"/>
      <c r="M9" s="279" t="s">
        <v>51</v>
      </c>
      <c r="N9" s="280"/>
      <c r="O9" s="279" t="s">
        <v>55</v>
      </c>
      <c r="P9" s="280"/>
      <c r="Q9" s="279" t="s">
        <v>56</v>
      </c>
      <c r="R9" s="280"/>
      <c r="S9" s="279" t="s">
        <v>57</v>
      </c>
      <c r="T9" s="280"/>
      <c r="U9" s="279" t="s">
        <v>58</v>
      </c>
      <c r="V9" s="280"/>
    </row>
    <row r="10" spans="1:22" s="17" customFormat="1" ht="22.5" customHeight="1" x14ac:dyDescent="0.2">
      <c r="A10" s="75"/>
      <c r="B10" s="46" t="s">
        <v>149</v>
      </c>
      <c r="C10" s="298"/>
      <c r="D10" s="306"/>
      <c r="E10" s="307"/>
      <c r="F10" s="301"/>
      <c r="G10" s="52" t="s">
        <v>3</v>
      </c>
      <c r="H10" s="46" t="s">
        <v>4</v>
      </c>
      <c r="I10" s="52" t="s">
        <v>3</v>
      </c>
      <c r="J10" s="6" t="s">
        <v>4</v>
      </c>
      <c r="K10" s="67" t="s">
        <v>3</v>
      </c>
      <c r="L10" s="6" t="s">
        <v>4</v>
      </c>
      <c r="M10" s="67" t="s">
        <v>3</v>
      </c>
      <c r="N10" s="6" t="s">
        <v>4</v>
      </c>
      <c r="O10" s="67" t="s">
        <v>3</v>
      </c>
      <c r="P10" s="6" t="s">
        <v>4</v>
      </c>
      <c r="Q10" s="67" t="s">
        <v>3</v>
      </c>
      <c r="R10" s="6" t="s">
        <v>4</v>
      </c>
      <c r="S10" s="67" t="s">
        <v>3</v>
      </c>
      <c r="T10" s="6" t="s">
        <v>4</v>
      </c>
      <c r="U10" s="52" t="s">
        <v>3</v>
      </c>
      <c r="V10" s="6" t="s">
        <v>4</v>
      </c>
    </row>
    <row r="11" spans="1:22" s="17" customFormat="1" ht="11.25" x14ac:dyDescent="0.2">
      <c r="A11" s="3" t="s">
        <v>29</v>
      </c>
      <c r="B11" s="4"/>
      <c r="C11" s="4" t="s">
        <v>13</v>
      </c>
      <c r="D11" s="4"/>
      <c r="E11" s="4"/>
      <c r="F11" s="18" t="s">
        <v>30</v>
      </c>
      <c r="G11" s="13">
        <f>ROUNDUP((29.74+59.14+14.79+29.57)*1.35,-2)</f>
        <v>200</v>
      </c>
      <c r="H11" s="18" t="s">
        <v>30</v>
      </c>
      <c r="I11" s="13">
        <f>ROUNDUP((29.74+29.58+120+29.57+4*59.14+2*14.79+29.57+37.11+29.57+29.57+7.44+37.11+29.57)*1.35,-2)</f>
        <v>1000</v>
      </c>
      <c r="J11" s="18" t="s">
        <v>30</v>
      </c>
      <c r="K11" s="13">
        <f>ROUNDUP((59.48+44.37+210+59.14+245+2*14.79+59.14+74.22+29.57+29.57+29.74+7.44+37.11+29.57+33.51)*1.35,-2)</f>
        <v>1400</v>
      </c>
      <c r="L11" s="18" t="s">
        <v>30</v>
      </c>
      <c r="M11" s="13">
        <f>ROUNDUP((89.22+59.16+300+88.71+350+3*14.79+88.71+111.33+29.57+29.57+29.74+7.44+74.22+59.14+33.51)*1.35,-2)</f>
        <v>1900</v>
      </c>
      <c r="N11" s="18" t="s">
        <v>30</v>
      </c>
      <c r="O11" s="13">
        <f>ROUNDUP((29.74+29.57+59.14+14.79+29.57+37.11+29.57+29.57)*1.35,-2)</f>
        <v>400</v>
      </c>
      <c r="P11" s="18" t="s">
        <v>30</v>
      </c>
      <c r="Q11" s="13">
        <f>ROUNDUP((29.74+29.57+59.14+14.79+29.57+37.11)*1.35,-2)</f>
        <v>300</v>
      </c>
      <c r="R11" s="18" t="s">
        <v>30</v>
      </c>
      <c r="S11" s="13">
        <f>ROUNDUP((29.74+29.57+2*59.14+14.79+29.57+37.11+29.57+29.57+59.14)*1.35,-2)</f>
        <v>600</v>
      </c>
      <c r="T11" s="18" t="s">
        <v>30</v>
      </c>
      <c r="U11" s="13">
        <f>ROUNDUP((89.22+59.16+240+88.71+280+3*14.79+88.71+111.33+29.57+29.57+29.74+7.44+74.22+59.14+33.51)*1.35,-2)</f>
        <v>1800</v>
      </c>
      <c r="V11" s="18" t="s">
        <v>30</v>
      </c>
    </row>
    <row r="12" spans="1:22" s="17" customFormat="1" ht="11.25" x14ac:dyDescent="0.2">
      <c r="A12" s="3" t="s">
        <v>99</v>
      </c>
      <c r="B12" s="4"/>
      <c r="C12" s="4" t="s">
        <v>28</v>
      </c>
      <c r="D12" s="4" t="s">
        <v>33</v>
      </c>
      <c r="E12" s="4"/>
      <c r="F12" s="18" t="s">
        <v>30</v>
      </c>
      <c r="G12" s="39">
        <v>50</v>
      </c>
      <c r="H12" s="18" t="s">
        <v>30</v>
      </c>
      <c r="I12" s="39">
        <v>150</v>
      </c>
      <c r="J12" s="18" t="s">
        <v>30</v>
      </c>
      <c r="K12" s="39">
        <v>275</v>
      </c>
      <c r="L12" s="18" t="s">
        <v>30</v>
      </c>
      <c r="M12" s="39">
        <v>400</v>
      </c>
      <c r="N12" s="18" t="s">
        <v>30</v>
      </c>
      <c r="O12" s="39">
        <v>50</v>
      </c>
      <c r="P12" s="18" t="s">
        <v>30</v>
      </c>
      <c r="Q12" s="39">
        <v>20</v>
      </c>
      <c r="R12" s="18" t="s">
        <v>30</v>
      </c>
      <c r="S12" s="39">
        <v>75</v>
      </c>
      <c r="T12" s="18" t="s">
        <v>30</v>
      </c>
      <c r="U12" s="39">
        <v>300</v>
      </c>
      <c r="V12" s="18" t="s">
        <v>30</v>
      </c>
    </row>
    <row r="13" spans="1:22" s="17" customFormat="1" ht="11.25" x14ac:dyDescent="0.2">
      <c r="A13" s="3" t="s">
        <v>98</v>
      </c>
      <c r="B13" s="4"/>
      <c r="C13" s="4" t="s">
        <v>28</v>
      </c>
      <c r="D13" s="4" t="s">
        <v>60</v>
      </c>
      <c r="E13" s="4"/>
      <c r="F13" s="18" t="s">
        <v>30</v>
      </c>
      <c r="G13" s="13">
        <f>ROUNDUP(G12*0.4,0)</f>
        <v>20</v>
      </c>
      <c r="H13" s="18" t="s">
        <v>30</v>
      </c>
      <c r="I13" s="13">
        <f>ROUNDUP(I12*0.5,0)</f>
        <v>75</v>
      </c>
      <c r="J13" s="18" t="s">
        <v>30</v>
      </c>
      <c r="K13" s="13">
        <f>ROUNDUP(K12*0.5,0)</f>
        <v>138</v>
      </c>
      <c r="L13" s="18" t="s">
        <v>30</v>
      </c>
      <c r="M13" s="13">
        <f>ROUNDUP(M12*0.5,0)</f>
        <v>200</v>
      </c>
      <c r="N13" s="18" t="s">
        <v>30</v>
      </c>
      <c r="O13" s="13">
        <f>ROUNDUP(O12*0.4,0)</f>
        <v>20</v>
      </c>
      <c r="P13" s="18" t="s">
        <v>30</v>
      </c>
      <c r="Q13" s="13">
        <f>Q12</f>
        <v>20</v>
      </c>
      <c r="R13" s="18" t="s">
        <v>30</v>
      </c>
      <c r="S13" s="13">
        <f>ROUNDUP(S12*0.5,0)</f>
        <v>38</v>
      </c>
      <c r="T13" s="18" t="s">
        <v>30</v>
      </c>
      <c r="U13" s="13">
        <f>ROUNDUP(U12*0.5,0)</f>
        <v>150</v>
      </c>
      <c r="V13" s="18" t="s">
        <v>30</v>
      </c>
    </row>
    <row r="14" spans="1:22" s="17" customFormat="1" ht="11.25" customHeight="1" x14ac:dyDescent="0.2">
      <c r="A14" s="52" t="s">
        <v>20</v>
      </c>
      <c r="B14" s="68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4"/>
    </row>
    <row r="15" spans="1:22" s="17" customFormat="1" ht="11.25" x14ac:dyDescent="0.2">
      <c r="A15" s="2" t="s">
        <v>25</v>
      </c>
      <c r="B15" s="1"/>
      <c r="C15" s="1" t="s">
        <v>13</v>
      </c>
      <c r="D15" s="1" t="s">
        <v>64</v>
      </c>
      <c r="E15" s="1">
        <v>400000</v>
      </c>
      <c r="F15" s="20">
        <v>1.0900000000000001</v>
      </c>
      <c r="G15" s="14">
        <f>G11</f>
        <v>200</v>
      </c>
      <c r="H15" s="14">
        <f>ROUND($F15*G15,2)</f>
        <v>218</v>
      </c>
      <c r="I15" s="14">
        <f>I11</f>
        <v>1000</v>
      </c>
      <c r="J15" s="14">
        <f t="shared" ref="J15:J17" si="0">ROUND($F15*I15,2)</f>
        <v>1090</v>
      </c>
      <c r="K15" s="14">
        <f>K11</f>
        <v>1400</v>
      </c>
      <c r="L15" s="14">
        <f t="shared" ref="L15:L17" si="1">ROUND($F15*K15,2)</f>
        <v>1526</v>
      </c>
      <c r="M15" s="14">
        <f>M11</f>
        <v>1900</v>
      </c>
      <c r="N15" s="14">
        <f t="shared" ref="N15:N17" si="2">ROUND($F15*M15,2)</f>
        <v>2071</v>
      </c>
      <c r="O15" s="14">
        <f>O11</f>
        <v>400</v>
      </c>
      <c r="P15" s="14">
        <f>ROUND($F15*O15,2)</f>
        <v>436</v>
      </c>
      <c r="Q15" s="14">
        <f>Q11</f>
        <v>300</v>
      </c>
      <c r="R15" s="14">
        <f t="shared" ref="R15:R16" si="3">ROUND($F15*Q15,2)</f>
        <v>327</v>
      </c>
      <c r="S15" s="14">
        <f>S11</f>
        <v>600</v>
      </c>
      <c r="T15" s="14">
        <f t="shared" ref="T15:T16" si="4">ROUND($F15*S15,2)</f>
        <v>654</v>
      </c>
      <c r="U15" s="14">
        <f>U11</f>
        <v>1800</v>
      </c>
      <c r="V15" s="14">
        <f t="shared" ref="V15:V16" si="5">ROUND($F15*U15,2)</f>
        <v>1962</v>
      </c>
    </row>
    <row r="16" spans="1:22" s="17" customFormat="1" ht="11.25" x14ac:dyDescent="0.2">
      <c r="A16" s="2" t="s">
        <v>18</v>
      </c>
      <c r="B16" s="1"/>
      <c r="C16" s="1" t="s">
        <v>13</v>
      </c>
      <c r="D16" s="1" t="s">
        <v>64</v>
      </c>
      <c r="E16" s="1">
        <v>511300</v>
      </c>
      <c r="F16" s="20">
        <v>0.27</v>
      </c>
      <c r="G16" s="14">
        <f>G11</f>
        <v>200</v>
      </c>
      <c r="H16" s="14">
        <f>ROUND($F16*G16,2)</f>
        <v>54</v>
      </c>
      <c r="I16" s="14">
        <f>I11</f>
        <v>1000</v>
      </c>
      <c r="J16" s="14">
        <f t="shared" si="0"/>
        <v>270</v>
      </c>
      <c r="K16" s="14">
        <f>K11</f>
        <v>1400</v>
      </c>
      <c r="L16" s="14">
        <f t="shared" si="1"/>
        <v>378</v>
      </c>
      <c r="M16" s="14">
        <f>M11</f>
        <v>1900</v>
      </c>
      <c r="N16" s="14">
        <f t="shared" si="2"/>
        <v>513</v>
      </c>
      <c r="O16" s="14">
        <f>O11</f>
        <v>400</v>
      </c>
      <c r="P16" s="14">
        <f>ROUND($F16*O16,2)</f>
        <v>108</v>
      </c>
      <c r="Q16" s="14">
        <f>Q11</f>
        <v>300</v>
      </c>
      <c r="R16" s="14">
        <f t="shared" si="3"/>
        <v>81</v>
      </c>
      <c r="S16" s="14">
        <f>S11</f>
        <v>600</v>
      </c>
      <c r="T16" s="14">
        <f t="shared" si="4"/>
        <v>162</v>
      </c>
      <c r="U16" s="14">
        <f>U11</f>
        <v>1800</v>
      </c>
      <c r="V16" s="14">
        <f t="shared" si="5"/>
        <v>486</v>
      </c>
    </row>
    <row r="17" spans="1:23" s="17" customFormat="1" ht="11.25" x14ac:dyDescent="0.2">
      <c r="A17" s="2" t="s">
        <v>19</v>
      </c>
      <c r="B17" s="1"/>
      <c r="C17" s="1" t="s">
        <v>13</v>
      </c>
      <c r="D17" s="1" t="s">
        <v>64</v>
      </c>
      <c r="E17" s="1">
        <v>603900</v>
      </c>
      <c r="F17" s="217">
        <v>7.21</v>
      </c>
      <c r="G17" s="14">
        <f>G11*0.05</f>
        <v>10</v>
      </c>
      <c r="H17" s="14">
        <f>ROUND($F17*G17,2)</f>
        <v>72.099999999999994</v>
      </c>
      <c r="I17" s="14">
        <f>I11*0.05</f>
        <v>50</v>
      </c>
      <c r="J17" s="14">
        <f t="shared" si="0"/>
        <v>360.5</v>
      </c>
      <c r="K17" s="14">
        <f>K11*0.05</f>
        <v>70</v>
      </c>
      <c r="L17" s="14">
        <f t="shared" si="1"/>
        <v>504.7</v>
      </c>
      <c r="M17" s="14">
        <f>M11*0.05</f>
        <v>95</v>
      </c>
      <c r="N17" s="14">
        <f t="shared" si="2"/>
        <v>684.95</v>
      </c>
      <c r="O17" s="14">
        <f>O11*0.05</f>
        <v>20</v>
      </c>
      <c r="P17" s="14">
        <f>ROUND($F17*O17,2)</f>
        <v>144.19999999999999</v>
      </c>
      <c r="Q17" s="14">
        <f>Q11*0.05</f>
        <v>15</v>
      </c>
      <c r="R17" s="14">
        <f>ROUND($F17*Q17,2)</f>
        <v>108.15</v>
      </c>
      <c r="S17" s="14">
        <f>S11*0.05</f>
        <v>30</v>
      </c>
      <c r="T17" s="14">
        <f>ROUND($F17*S17,2)</f>
        <v>216.3</v>
      </c>
      <c r="U17" s="14">
        <f>U11*0.05</f>
        <v>90</v>
      </c>
      <c r="V17" s="14">
        <f>ROUND($F17*U17,2)</f>
        <v>648.9</v>
      </c>
    </row>
    <row r="18" spans="1:23" s="17" customFormat="1" ht="11.25" customHeight="1" x14ac:dyDescent="0.2">
      <c r="A18" s="52" t="s">
        <v>24</v>
      </c>
      <c r="B18" s="68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4"/>
    </row>
    <row r="19" spans="1:23" s="17" customFormat="1" ht="11.25" x14ac:dyDescent="0.2">
      <c r="A19" s="2" t="s">
        <v>27</v>
      </c>
      <c r="B19" s="1"/>
      <c r="C19" s="1" t="s">
        <v>9</v>
      </c>
      <c r="D19" s="1" t="s">
        <v>64</v>
      </c>
      <c r="E19" s="1">
        <v>831000</v>
      </c>
      <c r="F19" s="20">
        <v>31.92</v>
      </c>
      <c r="G19" s="14">
        <f>10+20+10+20-(3*2)</f>
        <v>54</v>
      </c>
      <c r="H19" s="14">
        <f t="shared" ref="H19:H21" si="6">ROUND($F19*G19,2)</f>
        <v>1723.68</v>
      </c>
      <c r="I19" s="14">
        <f>20+40+20+40-(3*2)</f>
        <v>114</v>
      </c>
      <c r="J19" s="14">
        <f t="shared" ref="J19:J22" si="7">ROUND($F19*I19,2)</f>
        <v>3638.88</v>
      </c>
      <c r="K19" s="14">
        <f>20+60+20+60-(3*2)</f>
        <v>154</v>
      </c>
      <c r="L19" s="14">
        <f t="shared" ref="L19:L22" si="8">ROUND($F19*K19,2)</f>
        <v>4915.68</v>
      </c>
      <c r="M19" s="14">
        <f>34+50+34+50-(3*2)</f>
        <v>162</v>
      </c>
      <c r="N19" s="14">
        <f t="shared" ref="N19:N22" si="9">ROUND($F19*M19,2)</f>
        <v>5171.04</v>
      </c>
      <c r="O19" s="14">
        <f>20+20+20+20-(3*2)</f>
        <v>74</v>
      </c>
      <c r="P19" s="14">
        <f t="shared" ref="P19:P22" si="10">ROUND($F19*O19,2)</f>
        <v>2362.08</v>
      </c>
      <c r="Q19" s="14">
        <f>15+20+15+20-(3*2)</f>
        <v>64</v>
      </c>
      <c r="R19" s="14">
        <f t="shared" ref="R19:R22" si="11">ROUND($F19*Q19,2)</f>
        <v>2042.88</v>
      </c>
      <c r="S19" s="14">
        <f>20+25+20+25-(3*2)</f>
        <v>84</v>
      </c>
      <c r="T19" s="14">
        <f t="shared" ref="T19:T22" si="12">ROUND($F19*S19,2)</f>
        <v>2681.28</v>
      </c>
      <c r="U19" s="14">
        <f>30+50+30+50-(3*2)</f>
        <v>154</v>
      </c>
      <c r="V19" s="14">
        <f t="shared" ref="V19:V21" si="13">ROUND($F19*U19,2)</f>
        <v>4915.68</v>
      </c>
      <c r="W19" s="17" t="s">
        <v>75</v>
      </c>
    </row>
    <row r="20" spans="1:23" s="17" customFormat="1" ht="11.25" x14ac:dyDescent="0.2">
      <c r="A20" s="2" t="s">
        <v>21</v>
      </c>
      <c r="B20" s="1"/>
      <c r="C20" s="1" t="s">
        <v>13</v>
      </c>
      <c r="D20" s="1" t="s">
        <v>64</v>
      </c>
      <c r="E20" s="1" t="s">
        <v>67</v>
      </c>
      <c r="F20" s="217">
        <v>85.17</v>
      </c>
      <c r="G20" s="14">
        <f>2.5*(10+20+10+20-(3*2))</f>
        <v>135</v>
      </c>
      <c r="H20" s="61">
        <f t="shared" si="6"/>
        <v>11497.95</v>
      </c>
      <c r="I20" s="14">
        <f>2.5*(20+40+20+40-(3*2))</f>
        <v>285</v>
      </c>
      <c r="J20" s="61">
        <f t="shared" si="7"/>
        <v>24273.45</v>
      </c>
      <c r="K20" s="14">
        <f>2.5*(20+60+20+60-(3*2))</f>
        <v>385</v>
      </c>
      <c r="L20" s="61">
        <f t="shared" si="8"/>
        <v>32790.449999999997</v>
      </c>
      <c r="M20" s="14">
        <f>2.5*(34+50+34+50-(3*2))</f>
        <v>405</v>
      </c>
      <c r="N20" s="61">
        <f t="shared" si="9"/>
        <v>34493.85</v>
      </c>
      <c r="O20" s="14">
        <v>99.29</v>
      </c>
      <c r="P20" s="14">
        <f t="shared" si="10"/>
        <v>8456.5300000000007</v>
      </c>
      <c r="Q20" s="14">
        <f>2.5*(15+20+15+20-(3*2))</f>
        <v>160</v>
      </c>
      <c r="R20" s="61">
        <f t="shared" si="11"/>
        <v>13627.2</v>
      </c>
      <c r="S20" s="14">
        <f>2.5*(20+25+20+25-(3*2))</f>
        <v>210</v>
      </c>
      <c r="T20" s="61">
        <f t="shared" si="12"/>
        <v>17885.7</v>
      </c>
      <c r="U20" s="14">
        <f>2.5*(30+50+30+50-(3*2))</f>
        <v>385</v>
      </c>
      <c r="V20" s="61">
        <f t="shared" si="13"/>
        <v>32790.449999999997</v>
      </c>
      <c r="W20" s="17" t="s">
        <v>75</v>
      </c>
    </row>
    <row r="21" spans="1:23" s="17" customFormat="1" ht="11.25" x14ac:dyDescent="0.2">
      <c r="A21" s="2" t="s">
        <v>23</v>
      </c>
      <c r="B21" s="1"/>
      <c r="C21" s="1" t="s">
        <v>13</v>
      </c>
      <c r="D21" s="1" t="s">
        <v>64</v>
      </c>
      <c r="E21" s="1" t="s">
        <v>68</v>
      </c>
      <c r="F21" s="217">
        <v>97.84</v>
      </c>
      <c r="G21" s="14">
        <f>2.5*(10+20+10+20-(3*2))</f>
        <v>135</v>
      </c>
      <c r="H21" s="61">
        <f t="shared" si="6"/>
        <v>13208.4</v>
      </c>
      <c r="I21" s="14">
        <f>2.5*(20+40+20+40-(3*2))</f>
        <v>285</v>
      </c>
      <c r="J21" s="61">
        <f t="shared" si="7"/>
        <v>27884.400000000001</v>
      </c>
      <c r="K21" s="14">
        <f>2.5*(20+60+20+60-(3*2))</f>
        <v>385</v>
      </c>
      <c r="L21" s="61">
        <f t="shared" si="8"/>
        <v>37668.400000000001</v>
      </c>
      <c r="M21" s="14">
        <f>2.5*(34+50+34+50-(3*2))</f>
        <v>405</v>
      </c>
      <c r="N21" s="61">
        <f t="shared" si="9"/>
        <v>39625.199999999997</v>
      </c>
      <c r="O21" s="14">
        <f>2.5*(20+20+20+20-(3*2))</f>
        <v>185</v>
      </c>
      <c r="P21" s="14">
        <f t="shared" si="10"/>
        <v>18100.400000000001</v>
      </c>
      <c r="Q21" s="14">
        <f>2.5*(15+20+15+20-(3*2))</f>
        <v>160</v>
      </c>
      <c r="R21" s="61">
        <f t="shared" si="11"/>
        <v>15654.4</v>
      </c>
      <c r="S21" s="14">
        <f>2.5*(20+25+20+25-(3*2))</f>
        <v>210</v>
      </c>
      <c r="T21" s="61">
        <f t="shared" si="12"/>
        <v>20546.400000000001</v>
      </c>
      <c r="U21" s="14">
        <f>2.5*(30+50+30+50-(3*2))</f>
        <v>385</v>
      </c>
      <c r="V21" s="61">
        <f t="shared" si="13"/>
        <v>37668.400000000001</v>
      </c>
    </row>
    <row r="22" spans="1:23" s="17" customFormat="1" ht="11.25" x14ac:dyDescent="0.2">
      <c r="A22" s="2" t="s">
        <v>22</v>
      </c>
      <c r="B22" s="1"/>
      <c r="C22" s="1" t="s">
        <v>13</v>
      </c>
      <c r="D22" s="1" t="s">
        <v>64</v>
      </c>
      <c r="E22" s="1" t="s">
        <v>69</v>
      </c>
      <c r="F22" s="217">
        <v>683.82</v>
      </c>
      <c r="G22" s="14">
        <f>2.5*(3*2)</f>
        <v>15</v>
      </c>
      <c r="H22" s="14">
        <f t="shared" ref="H22:H58" si="14">ROUND($F22*G22,2)</f>
        <v>10257.299999999999</v>
      </c>
      <c r="I22" s="14">
        <f>2.5*(3*2)</f>
        <v>15</v>
      </c>
      <c r="J22" s="14">
        <f t="shared" si="7"/>
        <v>10257.299999999999</v>
      </c>
      <c r="K22" s="14">
        <f>2.5*(3*2)</f>
        <v>15</v>
      </c>
      <c r="L22" s="14">
        <f t="shared" si="8"/>
        <v>10257.299999999999</v>
      </c>
      <c r="M22" s="14">
        <f>2.5*(3*2)</f>
        <v>15</v>
      </c>
      <c r="N22" s="14">
        <f t="shared" si="9"/>
        <v>10257.299999999999</v>
      </c>
      <c r="O22" s="14">
        <f>2.5*(3*2)</f>
        <v>15</v>
      </c>
      <c r="P22" s="14">
        <f t="shared" si="10"/>
        <v>10257.299999999999</v>
      </c>
      <c r="Q22" s="14">
        <f>2.5*(3*2)</f>
        <v>15</v>
      </c>
      <c r="R22" s="14">
        <f t="shared" si="11"/>
        <v>10257.299999999999</v>
      </c>
      <c r="S22" s="14">
        <f>2.5*(3*2)</f>
        <v>15</v>
      </c>
      <c r="T22" s="14">
        <f t="shared" si="12"/>
        <v>10257.299999999999</v>
      </c>
      <c r="U22" s="14">
        <f>2.5*(3*2)</f>
        <v>15</v>
      </c>
      <c r="V22" s="14">
        <f t="shared" ref="V22" si="15">ROUND($F22*U22,2)</f>
        <v>10257.299999999999</v>
      </c>
    </row>
    <row r="23" spans="1:23" s="17" customFormat="1" ht="11.25" customHeight="1" x14ac:dyDescent="0.2">
      <c r="A23" s="52" t="s">
        <v>5</v>
      </c>
      <c r="B23" s="68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4"/>
    </row>
    <row r="24" spans="1:23" s="17" customFormat="1" ht="12" customHeight="1" x14ac:dyDescent="0.2">
      <c r="A24" s="40" t="s">
        <v>31</v>
      </c>
      <c r="B24" s="76"/>
      <c r="C24" s="1" t="s">
        <v>13</v>
      </c>
      <c r="D24" s="1" t="s">
        <v>65</v>
      </c>
      <c r="E24" s="21">
        <f>Fator!$C$2</f>
        <v>0.7</v>
      </c>
      <c r="F24" s="41">
        <f>Fator!$D$1*E24</f>
        <v>1334.5849999999998</v>
      </c>
      <c r="G24" s="14"/>
      <c r="H24" s="14">
        <f>ROUND(G24*F24,2)</f>
        <v>0</v>
      </c>
      <c r="I24" s="14">
        <f>28.8</f>
        <v>28.8</v>
      </c>
      <c r="J24" s="14">
        <f t="shared" ref="J24" si="16">ROUND($F24*I24,2)</f>
        <v>38436.050000000003</v>
      </c>
      <c r="K24" s="14">
        <f>2*(28.8)</f>
        <v>57.6</v>
      </c>
      <c r="L24" s="14">
        <f t="shared" ref="L24:L26" si="17">ROUND($F24*K24,2)</f>
        <v>76872.100000000006</v>
      </c>
      <c r="M24" s="14">
        <f>3*28.8</f>
        <v>86.4</v>
      </c>
      <c r="N24" s="14">
        <f t="shared" ref="N24:N33" si="18">ROUND($F24*M24,2)</f>
        <v>115308.14</v>
      </c>
      <c r="O24" s="14">
        <v>0</v>
      </c>
      <c r="P24" s="14">
        <f t="shared" ref="P24:P59" si="19">ROUND($F24*O24,2)</f>
        <v>0</v>
      </c>
      <c r="Q24" s="14"/>
      <c r="R24" s="14">
        <f t="shared" ref="R24:R51" si="20">ROUND($F24*Q24,2)</f>
        <v>0</v>
      </c>
      <c r="S24" s="14"/>
      <c r="T24" s="14">
        <f t="shared" ref="T24:T51" si="21">ROUND($F24*S24,2)</f>
        <v>0</v>
      </c>
      <c r="U24" s="55">
        <f>3*28.8</f>
        <v>86.4</v>
      </c>
      <c r="V24" s="14">
        <f t="shared" ref="V24:V59" si="22">ROUND($F24*U24,2)</f>
        <v>115308.14</v>
      </c>
    </row>
    <row r="25" spans="1:23" s="17" customFormat="1" ht="22.5" x14ac:dyDescent="0.2">
      <c r="A25" s="43" t="s">
        <v>130</v>
      </c>
      <c r="B25" s="76" t="s">
        <v>150</v>
      </c>
      <c r="C25" s="1" t="s">
        <v>6</v>
      </c>
      <c r="D25" s="1" t="s">
        <v>66</v>
      </c>
      <c r="E25" s="1"/>
      <c r="F25" s="42">
        <f>2*1216.66</f>
        <v>2433.3200000000002</v>
      </c>
      <c r="G25" s="14">
        <f>1*$C$4</f>
        <v>1</v>
      </c>
      <c r="H25" s="14">
        <f>ROUND($F25*G25,2)</f>
        <v>2433.3200000000002</v>
      </c>
      <c r="I25" s="14">
        <f>1*$C$4</f>
        <v>1</v>
      </c>
      <c r="J25" s="14">
        <f>ROUND($F25*I25,2)</f>
        <v>2433.3200000000002</v>
      </c>
      <c r="K25" s="14"/>
      <c r="L25" s="14">
        <f t="shared" si="17"/>
        <v>0</v>
      </c>
      <c r="M25" s="14"/>
      <c r="N25" s="14">
        <f t="shared" si="18"/>
        <v>0</v>
      </c>
      <c r="O25" s="14">
        <v>4</v>
      </c>
      <c r="P25" s="14">
        <f>ROUND($F25*O25,2)</f>
        <v>9733.2800000000007</v>
      </c>
      <c r="Q25" s="14">
        <f>1*$C$4</f>
        <v>1</v>
      </c>
      <c r="R25" s="14">
        <f t="shared" si="20"/>
        <v>2433.3200000000002</v>
      </c>
      <c r="S25" s="14">
        <f>1*$C$4</f>
        <v>1</v>
      </c>
      <c r="T25" s="14">
        <f t="shared" si="21"/>
        <v>2433.3200000000002</v>
      </c>
      <c r="U25" s="14"/>
      <c r="V25" s="14">
        <v>0</v>
      </c>
    </row>
    <row r="26" spans="1:23" s="17" customFormat="1" ht="12" customHeight="1" x14ac:dyDescent="0.2">
      <c r="A26" s="2" t="s">
        <v>100</v>
      </c>
      <c r="B26" s="84"/>
      <c r="C26" s="1" t="s">
        <v>6</v>
      </c>
      <c r="D26" s="1" t="s">
        <v>66</v>
      </c>
      <c r="E26" s="1"/>
      <c r="F26" s="66">
        <f>'Cotações regionais'!F78</f>
        <v>2112.39</v>
      </c>
      <c r="G26" s="14"/>
      <c r="H26" s="14">
        <f>ROUND($F26*G26,2)</f>
        <v>0</v>
      </c>
      <c r="I26" s="14">
        <f>1*$C$4</f>
        <v>1</v>
      </c>
      <c r="J26" s="14">
        <f t="shared" ref="J26" si="23">ROUND($F26*I26,2)</f>
        <v>2112.39</v>
      </c>
      <c r="K26" s="14">
        <f>2*$C$4</f>
        <v>2</v>
      </c>
      <c r="L26" s="14">
        <f t="shared" si="17"/>
        <v>4224.78</v>
      </c>
      <c r="M26" s="14">
        <f>3*$C$4</f>
        <v>3</v>
      </c>
      <c r="N26" s="14">
        <f t="shared" si="18"/>
        <v>6337.17</v>
      </c>
      <c r="O26" s="14">
        <v>0</v>
      </c>
      <c r="P26" s="14">
        <f t="shared" si="19"/>
        <v>0</v>
      </c>
      <c r="Q26" s="14"/>
      <c r="R26" s="14">
        <f t="shared" si="20"/>
        <v>0</v>
      </c>
      <c r="S26" s="14"/>
      <c r="T26" s="14">
        <f t="shared" si="21"/>
        <v>0</v>
      </c>
      <c r="U26" s="55">
        <f>3*$C$4</f>
        <v>3</v>
      </c>
      <c r="V26" s="14">
        <f>ROUND($F26*U26,2)</f>
        <v>6337.17</v>
      </c>
    </row>
    <row r="27" spans="1:23" s="17" customFormat="1" ht="12" customHeight="1" x14ac:dyDescent="0.2">
      <c r="A27" s="40" t="s">
        <v>101</v>
      </c>
      <c r="B27" s="77"/>
      <c r="C27" s="1" t="s">
        <v>13</v>
      </c>
      <c r="D27" s="1" t="s">
        <v>65</v>
      </c>
      <c r="E27" s="21">
        <f>Fator!$C$3</f>
        <v>1</v>
      </c>
      <c r="F27" s="218">
        <f>Fator!$D$1*E27</f>
        <v>1906.55</v>
      </c>
      <c r="G27" s="14"/>
      <c r="H27" s="14">
        <f t="shared" ref="H27" si="24">ROUND($F27*G27,2)</f>
        <v>0</v>
      </c>
      <c r="I27" s="14"/>
      <c r="J27" s="14">
        <f t="shared" ref="J27:J29" si="25">ROUND($F27*I27,2)</f>
        <v>0</v>
      </c>
      <c r="K27" s="14"/>
      <c r="L27" s="14">
        <f t="shared" ref="L27:L29" si="26">ROUND($F27*K27,2)</f>
        <v>0</v>
      </c>
      <c r="M27" s="14"/>
      <c r="N27" s="14">
        <f t="shared" ref="N27:N29" si="27">ROUND($F27*M27,2)</f>
        <v>0</v>
      </c>
      <c r="O27" s="14">
        <v>0</v>
      </c>
      <c r="P27" s="14">
        <f t="shared" ref="P27:P29" si="28">ROUND($F27*O27,2)</f>
        <v>0</v>
      </c>
      <c r="Q27" s="14"/>
      <c r="R27" s="14">
        <f t="shared" ref="R27:R29" si="29">ROUND($F27*Q27,2)</f>
        <v>0</v>
      </c>
      <c r="S27" s="14"/>
      <c r="T27" s="14">
        <f t="shared" ref="T27:T29" si="30">ROUND($F27*S27,2)</f>
        <v>0</v>
      </c>
      <c r="U27" s="55"/>
      <c r="V27" s="14">
        <f t="shared" ref="V27:V29" si="31">ROUND($F27*U27,2)</f>
        <v>0</v>
      </c>
    </row>
    <row r="28" spans="1:23" s="17" customFormat="1" ht="11.25" x14ac:dyDescent="0.2">
      <c r="A28" s="65" t="s">
        <v>131</v>
      </c>
      <c r="B28" s="76"/>
      <c r="C28" s="1" t="s">
        <v>6</v>
      </c>
      <c r="D28" s="1" t="s">
        <v>66</v>
      </c>
      <c r="E28" s="1"/>
      <c r="F28" s="219">
        <v>1200</v>
      </c>
      <c r="G28" s="14"/>
      <c r="H28" s="14">
        <f>ROUND($F28*G28,2)</f>
        <v>0</v>
      </c>
      <c r="I28" s="14"/>
      <c r="J28" s="14">
        <f t="shared" si="25"/>
        <v>0</v>
      </c>
      <c r="K28" s="14"/>
      <c r="L28" s="14">
        <f t="shared" si="26"/>
        <v>0</v>
      </c>
      <c r="M28" s="14"/>
      <c r="N28" s="14">
        <f t="shared" si="27"/>
        <v>0</v>
      </c>
      <c r="O28" s="14">
        <v>0</v>
      </c>
      <c r="P28" s="14">
        <f>ROUND($F28*O28,2)</f>
        <v>0</v>
      </c>
      <c r="Q28" s="14"/>
      <c r="R28" s="14">
        <f t="shared" si="29"/>
        <v>0</v>
      </c>
      <c r="S28" s="14"/>
      <c r="T28" s="14">
        <f t="shared" si="30"/>
        <v>0</v>
      </c>
      <c r="U28" s="55"/>
      <c r="V28" s="14">
        <f t="shared" si="31"/>
        <v>0</v>
      </c>
    </row>
    <row r="29" spans="1:23" s="17" customFormat="1" ht="12" customHeight="1" x14ac:dyDescent="0.2">
      <c r="A29" s="79" t="s">
        <v>32</v>
      </c>
      <c r="B29" s="85"/>
      <c r="C29" s="80" t="s">
        <v>6</v>
      </c>
      <c r="D29" s="1" t="s">
        <v>66</v>
      </c>
      <c r="E29" s="1"/>
      <c r="F29" s="66">
        <f>'Cotações regionais'!F78</f>
        <v>2112.39</v>
      </c>
      <c r="G29" s="14"/>
      <c r="H29" s="14">
        <f>ROUND($F29*G29,2)</f>
        <v>0</v>
      </c>
      <c r="I29" s="14"/>
      <c r="J29" s="14">
        <f t="shared" si="25"/>
        <v>0</v>
      </c>
      <c r="K29" s="14"/>
      <c r="L29" s="14">
        <f t="shared" si="26"/>
        <v>0</v>
      </c>
      <c r="M29" s="14"/>
      <c r="N29" s="14">
        <f t="shared" si="27"/>
        <v>0</v>
      </c>
      <c r="O29" s="14">
        <v>0</v>
      </c>
      <c r="P29" s="14">
        <f t="shared" si="28"/>
        <v>0</v>
      </c>
      <c r="Q29" s="14"/>
      <c r="R29" s="14">
        <f t="shared" si="29"/>
        <v>0</v>
      </c>
      <c r="S29" s="14"/>
      <c r="T29" s="14">
        <f t="shared" si="30"/>
        <v>0</v>
      </c>
      <c r="U29" s="55"/>
      <c r="V29" s="14">
        <f t="shared" si="31"/>
        <v>0</v>
      </c>
    </row>
    <row r="30" spans="1:23" s="17" customFormat="1" ht="12" customHeight="1" x14ac:dyDescent="0.2">
      <c r="A30" s="40" t="s">
        <v>59</v>
      </c>
      <c r="B30" s="77"/>
      <c r="C30" s="1" t="s">
        <v>13</v>
      </c>
      <c r="D30" s="1" t="s">
        <v>65</v>
      </c>
      <c r="E30" s="21">
        <f>Fator!$C$3</f>
        <v>1</v>
      </c>
      <c r="F30" s="41">
        <f>Fator!$D$1*E30</f>
        <v>1906.55</v>
      </c>
      <c r="G30" s="14"/>
      <c r="H30" s="14">
        <f t="shared" ref="H30" si="32">ROUND($F30*G30,2)</f>
        <v>0</v>
      </c>
      <c r="I30" s="14">
        <f>ROUNDUP(I13/20,0)*Dimensionamento!$F$9</f>
        <v>120</v>
      </c>
      <c r="J30" s="14">
        <f t="shared" ref="J30" si="33">ROUND($F30*I30,2)</f>
        <v>228786</v>
      </c>
      <c r="K30" s="14">
        <f>ROUNDUP(K13/20,0)*Dimensionamento!$F$9</f>
        <v>210</v>
      </c>
      <c r="L30" s="14">
        <f t="shared" ref="L30:L31" si="34">ROUND($F30*K30,2)</f>
        <v>400375.5</v>
      </c>
      <c r="M30" s="14">
        <f>ROUNDUP(M13/20,0)*Dimensionamento!$F$9</f>
        <v>300</v>
      </c>
      <c r="N30" s="14">
        <f t="shared" ref="N30:N31" si="35">ROUND($F30*M30,2)</f>
        <v>571965</v>
      </c>
      <c r="O30" s="14">
        <v>0</v>
      </c>
      <c r="P30" s="14">
        <f t="shared" ref="P30:P31" si="36">ROUND($F30*O30,2)</f>
        <v>0</v>
      </c>
      <c r="Q30" s="14"/>
      <c r="R30" s="14">
        <f t="shared" si="20"/>
        <v>0</v>
      </c>
      <c r="S30" s="14"/>
      <c r="T30" s="14">
        <f t="shared" si="21"/>
        <v>0</v>
      </c>
      <c r="U30" s="55">
        <f>ROUNDUP(U13/20,0)*Dimensionamento!$F$9</f>
        <v>240</v>
      </c>
      <c r="V30" s="14">
        <f t="shared" ref="V30:V31" si="37">ROUND($F30*U30,2)</f>
        <v>457572</v>
      </c>
    </row>
    <row r="31" spans="1:23" s="17" customFormat="1" ht="22.5" x14ac:dyDescent="0.2">
      <c r="A31" s="65" t="s">
        <v>132</v>
      </c>
      <c r="B31" s="76" t="s">
        <v>151</v>
      </c>
      <c r="C31" s="1" t="s">
        <v>6</v>
      </c>
      <c r="D31" s="1" t="s">
        <v>66</v>
      </c>
      <c r="E31" s="1"/>
      <c r="F31" s="42">
        <v>1200</v>
      </c>
      <c r="G31" s="14"/>
      <c r="H31" s="14">
        <f>ROUND($F31*G31,2)</f>
        <v>0</v>
      </c>
      <c r="I31" s="14">
        <f>1*$C$4</f>
        <v>1</v>
      </c>
      <c r="J31" s="14">
        <f>ROUND($F31*I31,2)</f>
        <v>1200</v>
      </c>
      <c r="K31" s="14"/>
      <c r="L31" s="14">
        <f t="shared" si="34"/>
        <v>0</v>
      </c>
      <c r="M31" s="14"/>
      <c r="N31" s="14">
        <f t="shared" si="35"/>
        <v>0</v>
      </c>
      <c r="O31" s="14">
        <v>0</v>
      </c>
      <c r="P31" s="14">
        <f t="shared" si="36"/>
        <v>0</v>
      </c>
      <c r="Q31" s="14"/>
      <c r="R31" s="14">
        <f t="shared" si="20"/>
        <v>0</v>
      </c>
      <c r="S31" s="14"/>
      <c r="T31" s="14">
        <f t="shared" si="21"/>
        <v>0</v>
      </c>
      <c r="U31" s="55"/>
      <c r="V31" s="14">
        <f t="shared" si="37"/>
        <v>0</v>
      </c>
    </row>
    <row r="32" spans="1:23" s="17" customFormat="1" ht="12" customHeight="1" x14ac:dyDescent="0.2">
      <c r="A32" s="86" t="s">
        <v>34</v>
      </c>
      <c r="B32" s="81"/>
      <c r="C32" s="80" t="s">
        <v>13</v>
      </c>
      <c r="D32" s="1" t="s">
        <v>65</v>
      </c>
      <c r="E32" s="21">
        <f>Fator!$C$4</f>
        <v>0.6</v>
      </c>
      <c r="F32" s="41">
        <f>Fator!$D$1*E32</f>
        <v>1143.9299999999998</v>
      </c>
      <c r="G32" s="14"/>
      <c r="H32" s="14">
        <f t="shared" si="14"/>
        <v>0</v>
      </c>
      <c r="I32" s="14"/>
      <c r="J32" s="14">
        <f t="shared" ref="J32" si="38">ROUND($F32*I32,2)</f>
        <v>0</v>
      </c>
      <c r="K32" s="14">
        <f>2*28.8</f>
        <v>57.6</v>
      </c>
      <c r="L32" s="14">
        <f>ROUND($F32*K32,2)*0</f>
        <v>0</v>
      </c>
      <c r="M32" s="14">
        <f>3*28.8</f>
        <v>86.4</v>
      </c>
      <c r="N32" s="14">
        <f>ROUND($F32*M32,2)*0</f>
        <v>0</v>
      </c>
      <c r="O32" s="14">
        <v>0</v>
      </c>
      <c r="P32" s="14">
        <f t="shared" si="19"/>
        <v>0</v>
      </c>
      <c r="Q32" s="14"/>
      <c r="R32" s="14">
        <f t="shared" si="20"/>
        <v>0</v>
      </c>
      <c r="S32" s="14"/>
      <c r="T32" s="14">
        <f t="shared" si="21"/>
        <v>0</v>
      </c>
      <c r="U32" s="55">
        <f>3*28.8</f>
        <v>86.4</v>
      </c>
      <c r="V32" s="14">
        <f t="shared" si="22"/>
        <v>98835.55</v>
      </c>
    </row>
    <row r="33" spans="1:22" s="17" customFormat="1" ht="12" customHeight="1" x14ac:dyDescent="0.2">
      <c r="A33" s="43" t="s">
        <v>133</v>
      </c>
      <c r="B33" s="77" t="s">
        <v>153</v>
      </c>
      <c r="C33" s="1" t="s">
        <v>6</v>
      </c>
      <c r="D33" s="1" t="s">
        <v>66</v>
      </c>
      <c r="E33" s="1"/>
      <c r="F33" s="42">
        <v>596.66</v>
      </c>
      <c r="G33" s="14"/>
      <c r="H33" s="14">
        <f t="shared" si="14"/>
        <v>0</v>
      </c>
      <c r="I33" s="14">
        <f>2*$C$4</f>
        <v>2</v>
      </c>
      <c r="J33" s="14">
        <f>ROUND($F33*I33,2)</f>
        <v>1193.32</v>
      </c>
      <c r="K33" s="14">
        <f>4*$C$4</f>
        <v>4</v>
      </c>
      <c r="L33" s="14">
        <f t="shared" ref="L33:L34" si="39">ROUND($F33*K33,2)</f>
        <v>2386.64</v>
      </c>
      <c r="M33" s="14">
        <f>3*$C$4</f>
        <v>3</v>
      </c>
      <c r="N33" s="14">
        <f t="shared" si="18"/>
        <v>1789.98</v>
      </c>
      <c r="O33" s="14">
        <v>0</v>
      </c>
      <c r="P33" s="14">
        <f t="shared" si="19"/>
        <v>0</v>
      </c>
      <c r="Q33" s="14">
        <f>2*$C$4</f>
        <v>2</v>
      </c>
      <c r="R33" s="14">
        <f t="shared" si="20"/>
        <v>1193.32</v>
      </c>
      <c r="S33" s="14">
        <f>2*$C$4</f>
        <v>2</v>
      </c>
      <c r="T33" s="14">
        <f t="shared" si="21"/>
        <v>1193.32</v>
      </c>
      <c r="U33" s="55"/>
      <c r="V33" s="14">
        <f t="shared" ref="V33" si="40">ROUND($F33*U33,2)</f>
        <v>0</v>
      </c>
    </row>
    <row r="34" spans="1:22" s="17" customFormat="1" ht="12" customHeight="1" x14ac:dyDescent="0.2">
      <c r="A34" s="86" t="s">
        <v>72</v>
      </c>
      <c r="B34" s="81"/>
      <c r="C34" s="80" t="s">
        <v>13</v>
      </c>
      <c r="D34" s="1" t="s">
        <v>65</v>
      </c>
      <c r="E34" s="21">
        <f>Fator!$C$5</f>
        <v>0.35</v>
      </c>
      <c r="F34" s="41">
        <f>Fator!$D$1*E34</f>
        <v>667.2924999999999</v>
      </c>
      <c r="G34" s="14"/>
      <c r="H34" s="14">
        <f t="shared" si="14"/>
        <v>0</v>
      </c>
      <c r="I34" s="14">
        <f>ROUNDUP(I13/20,0)*Dimensionamento!$F$10</f>
        <v>140</v>
      </c>
      <c r="J34" s="14">
        <f t="shared" ref="J34" si="41">ROUND($F34*I34,2)</f>
        <v>93420.95</v>
      </c>
      <c r="K34" s="14">
        <f>ROUNDUP(K13/20,0)*Dimensionamento!$F$10</f>
        <v>245</v>
      </c>
      <c r="L34" s="14">
        <f t="shared" si="39"/>
        <v>163486.66</v>
      </c>
      <c r="M34" s="14">
        <f>ROUNDUP(M13/20,0)*Dimensionamento!$F$10</f>
        <v>350</v>
      </c>
      <c r="N34" s="14">
        <f t="shared" ref="N34" si="42">ROUND($F34*M34,2)</f>
        <v>233552.38</v>
      </c>
      <c r="O34" s="14">
        <v>0</v>
      </c>
      <c r="P34" s="14">
        <f t="shared" si="19"/>
        <v>0</v>
      </c>
      <c r="Q34" s="14"/>
      <c r="R34" s="14">
        <f t="shared" si="20"/>
        <v>0</v>
      </c>
      <c r="S34" s="14"/>
      <c r="T34" s="14">
        <f t="shared" si="21"/>
        <v>0</v>
      </c>
      <c r="U34" s="55">
        <f>ROUNDUP(U13/20,0)*Dimensionamento!$F$10</f>
        <v>280</v>
      </c>
      <c r="V34" s="14">
        <f t="shared" si="22"/>
        <v>186841.9</v>
      </c>
    </row>
    <row r="35" spans="1:22" s="17" customFormat="1" ht="22.5" x14ac:dyDescent="0.2">
      <c r="A35" s="43" t="s">
        <v>162</v>
      </c>
      <c r="B35" s="77" t="s">
        <v>152</v>
      </c>
      <c r="C35" s="1" t="s">
        <v>6</v>
      </c>
      <c r="D35" s="1" t="s">
        <v>66</v>
      </c>
      <c r="E35" s="1"/>
      <c r="F35" s="219">
        <f>2*913.33</f>
        <v>1826.66</v>
      </c>
      <c r="G35" s="14">
        <f>ROUNDUP(G13/20,0)*$C$4</f>
        <v>1</v>
      </c>
      <c r="H35" s="14">
        <f>ROUND($F35*G35,2)</f>
        <v>1826.66</v>
      </c>
      <c r="I35" s="14">
        <f>ROUNDUP(I13/20,0)*$C$4</f>
        <v>4</v>
      </c>
      <c r="J35" s="14">
        <f>ROUND($F35*I35,2)*0</f>
        <v>0</v>
      </c>
      <c r="K35" s="14">
        <f>ROUNDUP(K13/20,0)*$C$4</f>
        <v>7</v>
      </c>
      <c r="L35" s="14">
        <f>ROUND($F35*K35,2)*0</f>
        <v>0</v>
      </c>
      <c r="M35" s="14">
        <f>ROUNDUP(M13/20,0)*$C$4</f>
        <v>10</v>
      </c>
      <c r="N35" s="14">
        <f>ROUND($F35*M35,2)*0</f>
        <v>0</v>
      </c>
      <c r="O35" s="14">
        <v>0</v>
      </c>
      <c r="P35" s="14">
        <f t="shared" si="19"/>
        <v>0</v>
      </c>
      <c r="Q35" s="14">
        <f>ROUNDUP(Q13/20,0)*$C$4</f>
        <v>1</v>
      </c>
      <c r="R35" s="14">
        <f t="shared" si="20"/>
        <v>1826.66</v>
      </c>
      <c r="S35" s="14">
        <f>ROUNDUP(S13/20,0)*$C$4</f>
        <v>2</v>
      </c>
      <c r="T35" s="14">
        <f t="shared" si="21"/>
        <v>3653.32</v>
      </c>
      <c r="U35" s="14">
        <f>ROUNDUP(U13/20,0)*$C$4</f>
        <v>8</v>
      </c>
      <c r="V35" s="14">
        <f>ROUND($F35*U35,2)*0</f>
        <v>0</v>
      </c>
    </row>
    <row r="36" spans="1:22" s="17" customFormat="1" ht="12" customHeight="1" x14ac:dyDescent="0.2">
      <c r="A36" s="86" t="s">
        <v>71</v>
      </c>
      <c r="B36" s="81"/>
      <c r="C36" s="80" t="s">
        <v>13</v>
      </c>
      <c r="D36" s="1" t="s">
        <v>65</v>
      </c>
      <c r="E36" s="21">
        <f>Fator!$C$6</f>
        <v>0.6</v>
      </c>
      <c r="F36" s="41">
        <f>Fator!$D$1*E36</f>
        <v>1143.9299999999998</v>
      </c>
      <c r="G36" s="14"/>
      <c r="H36" s="14">
        <f t="shared" si="14"/>
        <v>0</v>
      </c>
      <c r="I36" s="14"/>
      <c r="J36" s="14">
        <f t="shared" ref="J36" si="43">ROUND($F36*I36,2)</f>
        <v>0</v>
      </c>
      <c r="K36" s="14"/>
      <c r="L36" s="14">
        <f t="shared" ref="L36" si="44">ROUND($F36*K36,2)</f>
        <v>0</v>
      </c>
      <c r="M36" s="14"/>
      <c r="N36" s="14">
        <f t="shared" ref="N36:N44" si="45">ROUND($F36*M36,2)</f>
        <v>0</v>
      </c>
      <c r="O36" s="14">
        <v>0</v>
      </c>
      <c r="P36" s="14">
        <f t="shared" si="19"/>
        <v>0</v>
      </c>
      <c r="Q36" s="14"/>
      <c r="R36" s="14">
        <f t="shared" si="20"/>
        <v>0</v>
      </c>
      <c r="S36" s="14"/>
      <c r="T36" s="14">
        <f t="shared" si="21"/>
        <v>0</v>
      </c>
      <c r="U36" s="55"/>
      <c r="V36" s="14">
        <f t="shared" si="22"/>
        <v>0</v>
      </c>
    </row>
    <row r="37" spans="1:22" s="17" customFormat="1" ht="33.75" x14ac:dyDescent="0.2">
      <c r="A37" s="43" t="s">
        <v>146</v>
      </c>
      <c r="B37" s="77" t="s">
        <v>154</v>
      </c>
      <c r="C37" s="1" t="s">
        <v>6</v>
      </c>
      <c r="D37" s="1" t="s">
        <v>66</v>
      </c>
      <c r="E37" s="1"/>
      <c r="F37" s="42">
        <v>1826.66</v>
      </c>
      <c r="G37" s="14">
        <f>ROUNDUP((ROUNDUP(G13/20,0)*Dimensionamento!$F$7)/14.4,0)*$C$4</f>
        <v>1</v>
      </c>
      <c r="H37" s="14">
        <f>ROUND($F37*G37,2)</f>
        <v>1826.66</v>
      </c>
      <c r="I37" s="14">
        <f>ROUNDUP((ROUNDUP(I13/20,0)*Dimensionamento!$F$7)/14.4,0)*$C$4</f>
        <v>2</v>
      </c>
      <c r="J37" s="14">
        <f>ROUND($F37*I37,2)</f>
        <v>3653.32</v>
      </c>
      <c r="K37" s="14">
        <f>ROUNDUP((ROUNDUP(K13/20,0)*Dimensionamento!$F$7)/14.4,0)*$C$4</f>
        <v>3</v>
      </c>
      <c r="L37" s="14">
        <f t="shared" ref="L37:L44" si="46">ROUND($F37*K37,2)</f>
        <v>5479.98</v>
      </c>
      <c r="M37" s="14">
        <f>ROUNDUP((ROUNDUP(M13/20,0)*Dimensionamento!$F$7)/14.4,0)*$C$4</f>
        <v>3</v>
      </c>
      <c r="N37" s="14">
        <f t="shared" si="45"/>
        <v>5479.98</v>
      </c>
      <c r="O37" s="14">
        <v>0</v>
      </c>
      <c r="P37" s="14">
        <f t="shared" si="19"/>
        <v>0</v>
      </c>
      <c r="Q37" s="14">
        <f>ROUNDUP((ROUNDUP(Q13/20,0)*Dimensionamento!$F$7)/14.4,0)*$C$4</f>
        <v>1</v>
      </c>
      <c r="R37" s="14">
        <f t="shared" si="20"/>
        <v>1826.66</v>
      </c>
      <c r="S37" s="14">
        <f>ROUNDUP((ROUNDUP(S13/20,0)*Dimensionamento!$F$7)/14.4,0)*$C$4</f>
        <v>1</v>
      </c>
      <c r="T37" s="14">
        <f t="shared" si="21"/>
        <v>1826.66</v>
      </c>
      <c r="U37" s="55">
        <f>ROUNDUP((ROUNDUP(U13/20,0)*Dimensionamento!$F$7)/14.4,0)*$C$4</f>
        <v>3</v>
      </c>
      <c r="V37" s="14">
        <f t="shared" si="22"/>
        <v>5479.98</v>
      </c>
    </row>
    <row r="38" spans="1:22" s="17" customFormat="1" ht="11.25" x14ac:dyDescent="0.2">
      <c r="A38" s="86" t="s">
        <v>163</v>
      </c>
      <c r="B38" s="85"/>
      <c r="C38" s="80" t="s">
        <v>13</v>
      </c>
      <c r="D38" s="1" t="s">
        <v>65</v>
      </c>
      <c r="E38" s="21">
        <f>Fator!$C$7</f>
        <v>0.6</v>
      </c>
      <c r="F38" s="41">
        <f>Fator!$D$1*E38</f>
        <v>1143.9299999999998</v>
      </c>
      <c r="G38" s="14"/>
      <c r="H38" s="14"/>
      <c r="I38" s="14"/>
      <c r="J38" s="14"/>
      <c r="K38" s="14">
        <f>ROUNDUP(K13/20,0)*Dimensionamento!$F$11</f>
        <v>84</v>
      </c>
      <c r="L38" s="14">
        <f>ROUND($F38*K38,2)</f>
        <v>96090.12</v>
      </c>
      <c r="M38" s="14">
        <f>ROUNDUP(M13/20,0)*Dimensionamento!$F$11</f>
        <v>120</v>
      </c>
      <c r="N38" s="14">
        <f>ROUND($F38*M38,2)</f>
        <v>137271.6</v>
      </c>
      <c r="O38" s="14">
        <v>0</v>
      </c>
      <c r="P38" s="14"/>
      <c r="Q38" s="14"/>
      <c r="R38" s="14"/>
      <c r="S38" s="14">
        <f>ROUNDUP(S13/20,0)*Dimensionamento!$F$11</f>
        <v>24</v>
      </c>
      <c r="T38" s="14">
        <f>ROUND($F38*S38,2)</f>
        <v>27454.32</v>
      </c>
      <c r="U38" s="14">
        <f>ROUNDUP(U13/20,0)*Dimensionamento!$F$11</f>
        <v>96</v>
      </c>
      <c r="V38" s="14">
        <f>ROUND($F38*U38,2)</f>
        <v>109817.28</v>
      </c>
    </row>
    <row r="39" spans="1:22" s="17" customFormat="1" ht="12" customHeight="1" x14ac:dyDescent="0.2">
      <c r="A39" s="86" t="s">
        <v>35</v>
      </c>
      <c r="B39" s="81"/>
      <c r="C39" s="80" t="s">
        <v>13</v>
      </c>
      <c r="D39" s="1" t="s">
        <v>65</v>
      </c>
      <c r="E39" s="21">
        <f>Fator!$C$7</f>
        <v>0.6</v>
      </c>
      <c r="F39" s="41">
        <f>Fator!$D$1*E39</f>
        <v>1143.9299999999998</v>
      </c>
      <c r="G39" s="14"/>
      <c r="H39" s="14">
        <f t="shared" si="14"/>
        <v>0</v>
      </c>
      <c r="I39" s="14"/>
      <c r="J39" s="14">
        <f t="shared" ref="J39" si="47">ROUND($F39*I39,2)</f>
        <v>0</v>
      </c>
      <c r="K39" s="14">
        <f>2*28.8</f>
        <v>57.6</v>
      </c>
      <c r="L39" s="14">
        <f>ROUND($F39*K39,2)</f>
        <v>65890.37</v>
      </c>
      <c r="M39" s="14">
        <f>3*28.8</f>
        <v>86.4</v>
      </c>
      <c r="N39" s="14">
        <f t="shared" si="45"/>
        <v>98835.55</v>
      </c>
      <c r="O39" s="14">
        <v>0</v>
      </c>
      <c r="P39" s="14">
        <f t="shared" si="19"/>
        <v>0</v>
      </c>
      <c r="Q39" s="14"/>
      <c r="R39" s="14">
        <f t="shared" si="20"/>
        <v>0</v>
      </c>
      <c r="S39" s="14"/>
      <c r="T39" s="14">
        <f t="shared" si="21"/>
        <v>0</v>
      </c>
      <c r="U39" s="55">
        <f>3*28.8</f>
        <v>86.4</v>
      </c>
      <c r="V39" s="14">
        <f>ROUND($F39*U39,2)*0</f>
        <v>0</v>
      </c>
    </row>
    <row r="40" spans="1:22" s="17" customFormat="1" ht="12" customHeight="1" x14ac:dyDescent="0.2">
      <c r="A40" s="43" t="s">
        <v>134</v>
      </c>
      <c r="B40" s="77" t="s">
        <v>155</v>
      </c>
      <c r="C40" s="1" t="s">
        <v>6</v>
      </c>
      <c r="D40" s="1" t="s">
        <v>66</v>
      </c>
      <c r="E40" s="1"/>
      <c r="F40" s="42">
        <v>566.66</v>
      </c>
      <c r="G40" s="14">
        <f>2*$C$4</f>
        <v>2</v>
      </c>
      <c r="H40" s="14">
        <f t="shared" si="14"/>
        <v>1133.32</v>
      </c>
      <c r="I40" s="14">
        <f>2*$C$4</f>
        <v>2</v>
      </c>
      <c r="J40" s="14">
        <f>ROUND($F40*I40,2)</f>
        <v>1133.32</v>
      </c>
      <c r="K40" s="14">
        <f>2*$C$4</f>
        <v>2</v>
      </c>
      <c r="L40" s="14">
        <f t="shared" si="46"/>
        <v>1133.32</v>
      </c>
      <c r="M40" s="14"/>
      <c r="N40" s="14">
        <f t="shared" si="45"/>
        <v>0</v>
      </c>
      <c r="O40" s="14">
        <v>4</v>
      </c>
      <c r="P40" s="14">
        <f t="shared" si="19"/>
        <v>2266.64</v>
      </c>
      <c r="Q40" s="14">
        <f>2*$C$4</f>
        <v>2</v>
      </c>
      <c r="R40" s="14">
        <f t="shared" si="20"/>
        <v>1133.32</v>
      </c>
      <c r="S40" s="14">
        <f>2*$C$4</f>
        <v>2</v>
      </c>
      <c r="T40" s="14">
        <f t="shared" si="21"/>
        <v>1133.32</v>
      </c>
      <c r="U40" s="14">
        <f>3*2*$C$4</f>
        <v>6</v>
      </c>
      <c r="V40" s="14">
        <f t="shared" si="22"/>
        <v>3399.96</v>
      </c>
    </row>
    <row r="41" spans="1:22" s="17" customFormat="1" ht="12" customHeight="1" x14ac:dyDescent="0.2">
      <c r="A41" s="40" t="s">
        <v>78</v>
      </c>
      <c r="B41" s="78"/>
      <c r="C41" s="1" t="s">
        <v>13</v>
      </c>
      <c r="D41" s="1" t="s">
        <v>65</v>
      </c>
      <c r="E41" s="21">
        <f>Fator!$C$8</f>
        <v>0.3</v>
      </c>
      <c r="F41" s="218">
        <f>Fator!$D$1*E41</f>
        <v>571.96499999999992</v>
      </c>
      <c r="G41" s="14">
        <v>36</v>
      </c>
      <c r="H41" s="14">
        <f>ROUND($F41*G41,2)</f>
        <v>20590.740000000002</v>
      </c>
      <c r="I41" s="14"/>
      <c r="J41" s="14">
        <f t="shared" ref="J41" si="48">ROUND($F41*I41,2)</f>
        <v>0</v>
      </c>
      <c r="K41" s="14">
        <f>2*36</f>
        <v>72</v>
      </c>
      <c r="L41" s="14">
        <f t="shared" ref="L41" si="49">ROUND($F41*K41,2)</f>
        <v>41181.480000000003</v>
      </c>
      <c r="M41" s="14">
        <f>3*36</f>
        <v>108</v>
      </c>
      <c r="N41" s="14">
        <f t="shared" ref="N41" si="50">ROUND($F41*M41,2)</f>
        <v>61772.22</v>
      </c>
      <c r="O41" s="14">
        <v>0</v>
      </c>
      <c r="P41" s="14">
        <f t="shared" ref="P41" si="51">ROUND($F41*O41,2)</f>
        <v>0</v>
      </c>
      <c r="Q41" s="14"/>
      <c r="R41" s="14">
        <f t="shared" ref="R41" si="52">ROUND($F41*Q41,2)</f>
        <v>0</v>
      </c>
      <c r="S41" s="14"/>
      <c r="T41" s="14">
        <f t="shared" ref="T41" si="53">ROUND($F41*S41,2)</f>
        <v>0</v>
      </c>
      <c r="U41" s="55">
        <f>3*36</f>
        <v>108</v>
      </c>
      <c r="V41" s="14">
        <f>ROUND($F41*U41,2)*0</f>
        <v>0</v>
      </c>
    </row>
    <row r="42" spans="1:22" s="17" customFormat="1" ht="22.5" x14ac:dyDescent="0.2">
      <c r="A42" s="43" t="s">
        <v>157</v>
      </c>
      <c r="B42" s="76" t="s">
        <v>156</v>
      </c>
      <c r="C42" s="1" t="s">
        <v>6</v>
      </c>
      <c r="D42" s="1" t="s">
        <v>66</v>
      </c>
      <c r="E42" s="1"/>
      <c r="F42" s="219">
        <f>2*596.66+730</f>
        <v>1923.32</v>
      </c>
      <c r="G42" s="14">
        <f>1*$C$4</f>
        <v>1</v>
      </c>
      <c r="H42" s="14">
        <f t="shared" si="14"/>
        <v>1923.32</v>
      </c>
      <c r="I42" s="14">
        <f>1*$C$4</f>
        <v>1</v>
      </c>
      <c r="J42" s="14">
        <f>ROUND($F42*I42,2)</f>
        <v>1923.32</v>
      </c>
      <c r="K42" s="14">
        <v>0</v>
      </c>
      <c r="L42" s="14">
        <f t="shared" si="46"/>
        <v>0</v>
      </c>
      <c r="M42" s="14"/>
      <c r="N42" s="14">
        <f t="shared" si="45"/>
        <v>0</v>
      </c>
      <c r="O42" s="14">
        <v>0</v>
      </c>
      <c r="P42" s="14">
        <f>ROUND($F42*O42,2)</f>
        <v>0</v>
      </c>
      <c r="Q42" s="14">
        <f>1*$C$4</f>
        <v>1</v>
      </c>
      <c r="R42" s="14">
        <f t="shared" si="20"/>
        <v>1923.32</v>
      </c>
      <c r="S42" s="14">
        <f>1*$C$4</f>
        <v>1</v>
      </c>
      <c r="T42" s="14">
        <f t="shared" si="21"/>
        <v>1923.32</v>
      </c>
      <c r="U42" s="14">
        <f>3*1*$C$4</f>
        <v>3</v>
      </c>
      <c r="V42" s="14">
        <f t="shared" ref="V42" si="54">ROUND($F42*U42,2)</f>
        <v>5769.96</v>
      </c>
    </row>
    <row r="43" spans="1:22" s="17" customFormat="1" ht="22.5" x14ac:dyDescent="0.2">
      <c r="A43" s="43" t="s">
        <v>135</v>
      </c>
      <c r="B43" s="1" t="s">
        <v>155</v>
      </c>
      <c r="C43" s="1" t="s">
        <v>6</v>
      </c>
      <c r="D43" s="1" t="s">
        <v>66</v>
      </c>
      <c r="E43" s="1"/>
      <c r="F43" s="42">
        <v>980</v>
      </c>
      <c r="G43" s="14">
        <f>2*$C$4</f>
        <v>2</v>
      </c>
      <c r="H43" s="14">
        <f t="shared" si="14"/>
        <v>1960</v>
      </c>
      <c r="I43" s="14">
        <f>2*$C$4</f>
        <v>2</v>
      </c>
      <c r="J43" s="14">
        <f>ROUND($F43*I43,2)</f>
        <v>1960</v>
      </c>
      <c r="K43" s="14">
        <f>2*$C$4</f>
        <v>2</v>
      </c>
      <c r="L43" s="14">
        <f t="shared" si="46"/>
        <v>1960</v>
      </c>
      <c r="M43" s="14">
        <f>2*$C$4</f>
        <v>2</v>
      </c>
      <c r="N43" s="14">
        <f t="shared" si="45"/>
        <v>1960</v>
      </c>
      <c r="O43" s="14">
        <v>0</v>
      </c>
      <c r="P43" s="14">
        <f t="shared" si="19"/>
        <v>0</v>
      </c>
      <c r="Q43" s="14"/>
      <c r="R43" s="14">
        <f t="shared" si="20"/>
        <v>0</v>
      </c>
      <c r="S43" s="14">
        <f>2*$C$4</f>
        <v>2</v>
      </c>
      <c r="T43" s="14">
        <f t="shared" si="21"/>
        <v>1960</v>
      </c>
      <c r="U43" s="55">
        <f>2*$C$4</f>
        <v>2</v>
      </c>
      <c r="V43" s="14">
        <f t="shared" ref="V43:V44" si="55">ROUND($F43*U43,2)</f>
        <v>1960</v>
      </c>
    </row>
    <row r="44" spans="1:22" s="17" customFormat="1" ht="12" customHeight="1" x14ac:dyDescent="0.2">
      <c r="A44" s="43" t="s">
        <v>136</v>
      </c>
      <c r="B44" s="1" t="s">
        <v>155</v>
      </c>
      <c r="C44" s="1" t="s">
        <v>6</v>
      </c>
      <c r="D44" s="1" t="s">
        <v>66</v>
      </c>
      <c r="E44" s="1"/>
      <c r="F44" s="42">
        <v>1200</v>
      </c>
      <c r="G44" s="14">
        <f>2*$C$4</f>
        <v>2</v>
      </c>
      <c r="H44" s="14">
        <f t="shared" si="14"/>
        <v>2400</v>
      </c>
      <c r="I44" s="14">
        <f>2*$C$4</f>
        <v>2</v>
      </c>
      <c r="J44" s="14">
        <f>ROUND($F44*I44,2)</f>
        <v>2400</v>
      </c>
      <c r="K44" s="14">
        <f>2*$C$4</f>
        <v>2</v>
      </c>
      <c r="L44" s="14">
        <f t="shared" si="46"/>
        <v>2400</v>
      </c>
      <c r="M44" s="14">
        <f>2*$C$4</f>
        <v>2</v>
      </c>
      <c r="N44" s="14">
        <f t="shared" si="45"/>
        <v>2400</v>
      </c>
      <c r="O44" s="14">
        <v>0</v>
      </c>
      <c r="P44" s="14">
        <f t="shared" si="19"/>
        <v>0</v>
      </c>
      <c r="Q44" s="14"/>
      <c r="R44" s="14">
        <f t="shared" si="20"/>
        <v>0</v>
      </c>
      <c r="S44" s="14">
        <f>2*$C$4</f>
        <v>2</v>
      </c>
      <c r="T44" s="14">
        <f t="shared" si="21"/>
        <v>2400</v>
      </c>
      <c r="U44" s="55">
        <f>2*$C$4</f>
        <v>2</v>
      </c>
      <c r="V44" s="14">
        <f t="shared" si="55"/>
        <v>2400</v>
      </c>
    </row>
    <row r="45" spans="1:22" s="17" customFormat="1" ht="12" customHeight="1" x14ac:dyDescent="0.2">
      <c r="A45" s="43" t="s">
        <v>147</v>
      </c>
      <c r="B45" s="1" t="s">
        <v>155</v>
      </c>
      <c r="C45" s="1" t="s">
        <v>6</v>
      </c>
      <c r="D45" s="1" t="s">
        <v>66</v>
      </c>
      <c r="E45" s="1"/>
      <c r="F45" s="42">
        <v>950</v>
      </c>
      <c r="G45" s="14">
        <f>2*$C$4</f>
        <v>2</v>
      </c>
      <c r="H45" s="14">
        <f t="shared" si="14"/>
        <v>1900</v>
      </c>
      <c r="I45" s="14"/>
      <c r="J45" s="14">
        <f t="shared" ref="J45" si="56">ROUND($F45*I45,2)</f>
        <v>0</v>
      </c>
      <c r="K45" s="14">
        <f>2*$C$4</f>
        <v>2</v>
      </c>
      <c r="L45" s="14">
        <f t="shared" ref="L45" si="57">ROUND($F45*K45,2)</f>
        <v>1900</v>
      </c>
      <c r="M45" s="14">
        <f>2*$C$4</f>
        <v>2</v>
      </c>
      <c r="N45" s="14">
        <f t="shared" ref="N45" si="58">ROUND($F45*M45,2)</f>
        <v>1900</v>
      </c>
      <c r="O45" s="14">
        <v>0</v>
      </c>
      <c r="P45" s="14">
        <f t="shared" si="19"/>
        <v>0</v>
      </c>
      <c r="Q45" s="14"/>
      <c r="R45" s="14">
        <f t="shared" si="20"/>
        <v>0</v>
      </c>
      <c r="S45" s="14"/>
      <c r="T45" s="14">
        <f t="shared" si="21"/>
        <v>0</v>
      </c>
      <c r="U45" s="14">
        <f>2*$C$4</f>
        <v>2</v>
      </c>
      <c r="V45" s="14">
        <f t="shared" si="22"/>
        <v>1900</v>
      </c>
    </row>
    <row r="46" spans="1:22" s="17" customFormat="1" ht="12" customHeight="1" x14ac:dyDescent="0.2">
      <c r="A46" s="43" t="s">
        <v>137</v>
      </c>
      <c r="B46" s="1" t="s">
        <v>158</v>
      </c>
      <c r="C46" s="1" t="s">
        <v>6</v>
      </c>
      <c r="D46" s="1" t="s">
        <v>66</v>
      </c>
      <c r="E46" s="1"/>
      <c r="F46" s="42">
        <v>716.66</v>
      </c>
      <c r="G46" s="14">
        <f>1*$C$4</f>
        <v>1</v>
      </c>
      <c r="H46" s="14">
        <f t="shared" si="14"/>
        <v>716.66</v>
      </c>
      <c r="I46" s="14">
        <f>1*$C$4</f>
        <v>1</v>
      </c>
      <c r="J46" s="14">
        <f>ROUND($F46*I46,2)</f>
        <v>716.66</v>
      </c>
      <c r="K46" s="14">
        <f>1*$C$4</f>
        <v>1</v>
      </c>
      <c r="L46" s="14">
        <f t="shared" ref="L46:L48" si="59">ROUND($F46*K46,2)</f>
        <v>716.66</v>
      </c>
      <c r="M46" s="14">
        <f>1*$C$4</f>
        <v>1</v>
      </c>
      <c r="N46" s="14">
        <f t="shared" ref="N46:N59" si="60">ROUND($F46*M46,2)</f>
        <v>716.66</v>
      </c>
      <c r="O46" s="14">
        <v>0</v>
      </c>
      <c r="P46" s="14">
        <f t="shared" si="19"/>
        <v>0</v>
      </c>
      <c r="Q46" s="14"/>
      <c r="R46" s="14">
        <f t="shared" si="20"/>
        <v>0</v>
      </c>
      <c r="S46" s="14">
        <f>1*$C$4</f>
        <v>1</v>
      </c>
      <c r="T46" s="14">
        <f t="shared" si="21"/>
        <v>716.66</v>
      </c>
      <c r="U46" s="14">
        <f>1*$C$4</f>
        <v>1</v>
      </c>
      <c r="V46" s="14">
        <f t="shared" si="22"/>
        <v>716.66</v>
      </c>
    </row>
    <row r="47" spans="1:22" s="17" customFormat="1" ht="11.25" x14ac:dyDescent="0.2">
      <c r="A47" s="40" t="s">
        <v>36</v>
      </c>
      <c r="B47" s="1"/>
      <c r="C47" s="1" t="s">
        <v>13</v>
      </c>
      <c r="D47" s="1" t="s">
        <v>65</v>
      </c>
      <c r="E47" s="21">
        <f>Fator!$C$8</f>
        <v>0.3</v>
      </c>
      <c r="F47" s="41">
        <f>Fator!$D$1*E47</f>
        <v>571.96499999999992</v>
      </c>
      <c r="G47" s="14">
        <v>0</v>
      </c>
      <c r="H47" s="14">
        <f t="shared" si="14"/>
        <v>0</v>
      </c>
      <c r="I47" s="14">
        <v>36</v>
      </c>
      <c r="J47" s="14">
        <f t="shared" ref="J47" si="61">ROUND($F47*I47,2)</f>
        <v>20590.740000000002</v>
      </c>
      <c r="K47" s="14">
        <v>36</v>
      </c>
      <c r="L47" s="14">
        <f t="shared" si="59"/>
        <v>20590.740000000002</v>
      </c>
      <c r="M47" s="14">
        <f>2*36</f>
        <v>72</v>
      </c>
      <c r="N47" s="14">
        <f t="shared" si="60"/>
        <v>41181.480000000003</v>
      </c>
      <c r="O47" s="14">
        <v>0</v>
      </c>
      <c r="P47" s="14">
        <f t="shared" si="19"/>
        <v>0</v>
      </c>
      <c r="Q47" s="14"/>
      <c r="R47" s="14">
        <f t="shared" si="20"/>
        <v>0</v>
      </c>
      <c r="S47" s="14"/>
      <c r="T47" s="14">
        <f t="shared" si="21"/>
        <v>0</v>
      </c>
      <c r="U47" s="55">
        <f>2*36</f>
        <v>72</v>
      </c>
      <c r="V47" s="14">
        <f t="shared" si="22"/>
        <v>41181.480000000003</v>
      </c>
    </row>
    <row r="48" spans="1:22" s="17" customFormat="1" ht="11.25" x14ac:dyDescent="0.2">
      <c r="A48" s="40" t="s">
        <v>39</v>
      </c>
      <c r="B48" s="1"/>
      <c r="C48" s="1" t="s">
        <v>13</v>
      </c>
      <c r="D48" s="1" t="s">
        <v>65</v>
      </c>
      <c r="E48" s="21">
        <f>Fator!$C$9</f>
        <v>0.2</v>
      </c>
      <c r="F48" s="41">
        <f>Fator!$D$1*E48</f>
        <v>381.31</v>
      </c>
      <c r="G48" s="14">
        <v>0</v>
      </c>
      <c r="H48" s="14">
        <f t="shared" si="14"/>
        <v>0</v>
      </c>
      <c r="I48" s="14">
        <v>28.8</v>
      </c>
      <c r="J48" s="14">
        <f t="shared" ref="J48" si="62">ROUND($F48*I48,2)</f>
        <v>10981.73</v>
      </c>
      <c r="K48" s="14">
        <v>28.8</v>
      </c>
      <c r="L48" s="14">
        <f t="shared" si="59"/>
        <v>10981.73</v>
      </c>
      <c r="M48" s="14">
        <f>2*28.8</f>
        <v>57.6</v>
      </c>
      <c r="N48" s="14">
        <f t="shared" si="60"/>
        <v>21963.46</v>
      </c>
      <c r="O48" s="14">
        <v>0</v>
      </c>
      <c r="P48" s="14">
        <f t="shared" si="19"/>
        <v>0</v>
      </c>
      <c r="Q48" s="14"/>
      <c r="R48" s="14">
        <f t="shared" si="20"/>
        <v>0</v>
      </c>
      <c r="S48" s="14">
        <f>2*28.8</f>
        <v>57.6</v>
      </c>
      <c r="T48" s="14">
        <f t="shared" si="21"/>
        <v>21963.46</v>
      </c>
      <c r="U48" s="55">
        <f>2*28.8</f>
        <v>57.6</v>
      </c>
      <c r="V48" s="14">
        <f t="shared" ref="V48" si="63">ROUND($F48*U48,2)</f>
        <v>21963.46</v>
      </c>
    </row>
    <row r="49" spans="1:22" s="17" customFormat="1" ht="11.25" x14ac:dyDescent="0.2">
      <c r="A49" s="2" t="s">
        <v>8</v>
      </c>
      <c r="B49" s="1"/>
      <c r="C49" s="1" t="s">
        <v>6</v>
      </c>
      <c r="D49" s="1" t="s">
        <v>66</v>
      </c>
      <c r="E49" s="1"/>
      <c r="F49" s="22">
        <v>783.33</v>
      </c>
      <c r="G49" s="14">
        <f>2*$C$4</f>
        <v>2</v>
      </c>
      <c r="H49" s="14">
        <f t="shared" si="14"/>
        <v>1566.66</v>
      </c>
      <c r="I49" s="14">
        <f>2*$C$4</f>
        <v>2</v>
      </c>
      <c r="J49" s="14">
        <f>ROUND($F49*I49,2)</f>
        <v>1566.66</v>
      </c>
      <c r="K49" s="14">
        <f>4*$C$4</f>
        <v>4</v>
      </c>
      <c r="L49" s="14">
        <f t="shared" ref="L49:L50" si="64">ROUND($F49*K49,2)</f>
        <v>3133.32</v>
      </c>
      <c r="M49" s="14">
        <f>6*$C$4</f>
        <v>6</v>
      </c>
      <c r="N49" s="14">
        <f t="shared" si="60"/>
        <v>4699.9799999999996</v>
      </c>
      <c r="O49" s="14">
        <v>4</v>
      </c>
      <c r="P49" s="14">
        <f>ROUND($F49*O49,2)</f>
        <v>3133.32</v>
      </c>
      <c r="Q49" s="14">
        <f>2*$C$4</f>
        <v>2</v>
      </c>
      <c r="R49" s="14">
        <f t="shared" si="20"/>
        <v>1566.66</v>
      </c>
      <c r="S49" s="14">
        <f>2*$C$4</f>
        <v>2</v>
      </c>
      <c r="T49" s="14">
        <f t="shared" si="21"/>
        <v>1566.66</v>
      </c>
      <c r="U49" s="14">
        <f>4*$C$4</f>
        <v>4</v>
      </c>
      <c r="V49" s="14">
        <f t="shared" si="22"/>
        <v>3133.32</v>
      </c>
    </row>
    <row r="50" spans="1:22" s="17" customFormat="1" ht="11.25" x14ac:dyDescent="0.2">
      <c r="A50" s="40" t="s">
        <v>43</v>
      </c>
      <c r="B50" s="1"/>
      <c r="C50" s="1" t="s">
        <v>13</v>
      </c>
      <c r="D50" s="1" t="s">
        <v>65</v>
      </c>
      <c r="E50" s="21">
        <f>Fator!$C$10</f>
        <v>0.7</v>
      </c>
      <c r="F50" s="218">
        <f>Fator!$D$1*E50</f>
        <v>1334.5849999999998</v>
      </c>
      <c r="G50" s="14">
        <v>0</v>
      </c>
      <c r="H50" s="14">
        <f t="shared" ref="H50:H51" si="65">ROUND($F50*G50,2)</f>
        <v>0</v>
      </c>
      <c r="I50" s="14">
        <v>0</v>
      </c>
      <c r="J50" s="14">
        <f t="shared" ref="J50:J59" si="66">ROUND($F50*I50,2)</f>
        <v>0</v>
      </c>
      <c r="K50" s="14">
        <f>2*14.4</f>
        <v>28.8</v>
      </c>
      <c r="L50" s="14">
        <f t="shared" si="64"/>
        <v>38436.050000000003</v>
      </c>
      <c r="M50" s="14">
        <f>2*14.4</f>
        <v>28.8</v>
      </c>
      <c r="N50" s="14">
        <f t="shared" si="60"/>
        <v>38436.050000000003</v>
      </c>
      <c r="O50" s="14">
        <v>0</v>
      </c>
      <c r="P50" s="14">
        <f t="shared" si="19"/>
        <v>0</v>
      </c>
      <c r="Q50" s="14"/>
      <c r="R50" s="14">
        <f t="shared" si="20"/>
        <v>0</v>
      </c>
      <c r="S50" s="14"/>
      <c r="T50" s="14">
        <f t="shared" si="21"/>
        <v>0</v>
      </c>
      <c r="U50" s="55">
        <f>3*14.4</f>
        <v>43.2</v>
      </c>
      <c r="V50" s="14">
        <f t="shared" si="22"/>
        <v>57654.07</v>
      </c>
    </row>
    <row r="51" spans="1:22" s="17" customFormat="1" ht="26.25" customHeight="1" x14ac:dyDescent="0.2">
      <c r="A51" s="43" t="s">
        <v>148</v>
      </c>
      <c r="B51" s="1" t="s">
        <v>159</v>
      </c>
      <c r="C51" s="1" t="s">
        <v>6</v>
      </c>
      <c r="D51" s="1" t="s">
        <v>66</v>
      </c>
      <c r="E51" s="1"/>
      <c r="F51" s="45">
        <v>596.66</v>
      </c>
      <c r="G51" s="14">
        <f>1*$C$4</f>
        <v>1</v>
      </c>
      <c r="H51" s="14">
        <f t="shared" si="65"/>
        <v>596.66</v>
      </c>
      <c r="I51" s="14">
        <f>1*$C$4</f>
        <v>1</v>
      </c>
      <c r="J51" s="14">
        <f t="shared" si="66"/>
        <v>596.66</v>
      </c>
      <c r="K51" s="14">
        <f>0*$C$4</f>
        <v>0</v>
      </c>
      <c r="L51" s="14">
        <f t="shared" ref="L51:L59" si="67">ROUND($F51*K51,2)</f>
        <v>0</v>
      </c>
      <c r="M51" s="14">
        <f>0*$C$4</f>
        <v>0</v>
      </c>
      <c r="N51" s="14">
        <f t="shared" si="60"/>
        <v>0</v>
      </c>
      <c r="O51" s="14">
        <v>4</v>
      </c>
      <c r="P51" s="14">
        <f t="shared" si="19"/>
        <v>2386.64</v>
      </c>
      <c r="Q51" s="14"/>
      <c r="R51" s="14">
        <f t="shared" si="20"/>
        <v>0</v>
      </c>
      <c r="S51" s="14"/>
      <c r="T51" s="14">
        <f t="shared" si="21"/>
        <v>0</v>
      </c>
      <c r="U51" s="14"/>
      <c r="V51" s="14">
        <f t="shared" si="22"/>
        <v>0</v>
      </c>
    </row>
    <row r="52" spans="1:22" s="17" customFormat="1" ht="22.5" x14ac:dyDescent="0.2">
      <c r="A52" s="2" t="s">
        <v>138</v>
      </c>
      <c r="B52" s="1"/>
      <c r="C52" s="1" t="s">
        <v>11</v>
      </c>
      <c r="D52" s="1" t="s">
        <v>66</v>
      </c>
      <c r="E52" s="1"/>
      <c r="F52" s="60">
        <f>1*1229.26+6*369.93+16*33.2</f>
        <v>3980.04</v>
      </c>
      <c r="G52" s="14">
        <v>1</v>
      </c>
      <c r="H52" s="14">
        <f t="shared" ref="H52" si="68">ROUND($F52*G52,2)</f>
        <v>3980.04</v>
      </c>
      <c r="I52" s="14">
        <v>1</v>
      </c>
      <c r="J52" s="14">
        <f>ROUND($F52*I52,2)</f>
        <v>3980.04</v>
      </c>
      <c r="K52" s="14">
        <f>0*$C$4</f>
        <v>0</v>
      </c>
      <c r="L52" s="14">
        <f t="shared" ref="L52" si="69">ROUND($F52*K52,2)</f>
        <v>0</v>
      </c>
      <c r="M52" s="14">
        <f>0*$C$4</f>
        <v>0</v>
      </c>
      <c r="N52" s="14">
        <f t="shared" ref="N52" si="70">ROUND($F52*M52,2)</f>
        <v>0</v>
      </c>
      <c r="O52" s="14">
        <v>0</v>
      </c>
      <c r="P52" s="14">
        <f t="shared" ref="P52" si="71">ROUND($F52*O52,2)</f>
        <v>0</v>
      </c>
      <c r="Q52" s="14"/>
      <c r="R52" s="14">
        <f t="shared" ref="R52" si="72">ROUND($F52*Q52,2)</f>
        <v>0</v>
      </c>
      <c r="S52" s="14"/>
      <c r="T52" s="14">
        <f t="shared" ref="T52" si="73">ROUND($F52*S52,2)</f>
        <v>0</v>
      </c>
      <c r="U52" s="14"/>
      <c r="V52" s="14">
        <f t="shared" ref="V52" si="74">ROUND($F52*U52,2)</f>
        <v>0</v>
      </c>
    </row>
    <row r="53" spans="1:22" s="17" customFormat="1" ht="11.25" x14ac:dyDescent="0.2">
      <c r="A53" s="2" t="s">
        <v>7</v>
      </c>
      <c r="B53" s="1"/>
      <c r="C53" s="1" t="s">
        <v>11</v>
      </c>
      <c r="D53" s="1" t="s">
        <v>66</v>
      </c>
      <c r="E53" s="1"/>
      <c r="F53" s="22">
        <v>21825</v>
      </c>
      <c r="G53" s="14">
        <v>0</v>
      </c>
      <c r="H53" s="14">
        <f t="shared" si="14"/>
        <v>0</v>
      </c>
      <c r="I53" s="14">
        <v>0</v>
      </c>
      <c r="J53" s="14">
        <f t="shared" si="66"/>
        <v>0</v>
      </c>
      <c r="K53" s="14">
        <v>1</v>
      </c>
      <c r="L53" s="14">
        <f t="shared" si="67"/>
        <v>21825</v>
      </c>
      <c r="M53" s="14">
        <v>1</v>
      </c>
      <c r="N53" s="14">
        <f t="shared" si="60"/>
        <v>21825</v>
      </c>
      <c r="O53" s="14">
        <v>0</v>
      </c>
      <c r="P53" s="14"/>
      <c r="Q53" s="14"/>
      <c r="R53" s="14">
        <f t="shared" ref="R53:R59" si="75">ROUND($F53*Q53,2)</f>
        <v>0</v>
      </c>
      <c r="S53" s="14"/>
      <c r="T53" s="14">
        <f t="shared" ref="T53:T59" si="76">ROUND($F53*S53,2)</f>
        <v>0</v>
      </c>
      <c r="U53" s="14">
        <v>1</v>
      </c>
      <c r="V53" s="14">
        <f t="shared" si="22"/>
        <v>21825</v>
      </c>
    </row>
    <row r="54" spans="1:22" s="17" customFormat="1" ht="11.25" x14ac:dyDescent="0.2">
      <c r="A54" s="2" t="s">
        <v>37</v>
      </c>
      <c r="B54" s="1"/>
      <c r="C54" s="1" t="s">
        <v>11</v>
      </c>
      <c r="D54" s="1" t="s">
        <v>64</v>
      </c>
      <c r="E54" s="1" t="s">
        <v>73</v>
      </c>
      <c r="F54" s="217">
        <v>22168.87</v>
      </c>
      <c r="G54" s="14">
        <v>0</v>
      </c>
      <c r="H54" s="14">
        <f t="shared" si="14"/>
        <v>0</v>
      </c>
      <c r="I54" s="14">
        <v>0</v>
      </c>
      <c r="J54" s="14">
        <f t="shared" si="66"/>
        <v>0</v>
      </c>
      <c r="K54" s="14">
        <v>1</v>
      </c>
      <c r="L54" s="14">
        <f t="shared" si="67"/>
        <v>22168.87</v>
      </c>
      <c r="M54" s="14">
        <v>1</v>
      </c>
      <c r="N54" s="14">
        <f t="shared" si="60"/>
        <v>22168.87</v>
      </c>
      <c r="O54" s="14">
        <v>0</v>
      </c>
      <c r="P54" s="14"/>
      <c r="Q54" s="14"/>
      <c r="R54" s="14">
        <f t="shared" si="75"/>
        <v>0</v>
      </c>
      <c r="S54" s="14"/>
      <c r="T54" s="14">
        <f t="shared" si="76"/>
        <v>0</v>
      </c>
      <c r="U54" s="14">
        <v>1</v>
      </c>
      <c r="V54" s="14">
        <f t="shared" si="22"/>
        <v>22168.87</v>
      </c>
    </row>
    <row r="55" spans="1:22" s="17" customFormat="1" ht="11.25" x14ac:dyDescent="0.2">
      <c r="A55" s="2" t="s">
        <v>38</v>
      </c>
      <c r="B55" s="1"/>
      <c r="C55" s="1" t="s">
        <v>11</v>
      </c>
      <c r="D55" s="1" t="s">
        <v>66</v>
      </c>
      <c r="E55" s="1"/>
      <c r="F55" s="22">
        <v>1272.6199999999999</v>
      </c>
      <c r="G55" s="14">
        <v>0</v>
      </c>
      <c r="H55" s="14">
        <f t="shared" si="14"/>
        <v>0</v>
      </c>
      <c r="I55" s="14">
        <v>1</v>
      </c>
      <c r="J55" s="14">
        <f t="shared" si="66"/>
        <v>1272.6199999999999</v>
      </c>
      <c r="K55" s="14">
        <v>1</v>
      </c>
      <c r="L55" s="14">
        <f t="shared" si="67"/>
        <v>1272.6199999999999</v>
      </c>
      <c r="M55" s="14">
        <v>1</v>
      </c>
      <c r="N55" s="14">
        <f t="shared" si="60"/>
        <v>1272.6199999999999</v>
      </c>
      <c r="O55" s="14">
        <v>0</v>
      </c>
      <c r="P55" s="14">
        <f t="shared" si="19"/>
        <v>0</v>
      </c>
      <c r="Q55" s="14">
        <v>1</v>
      </c>
      <c r="R55" s="14">
        <f t="shared" si="75"/>
        <v>1272.6199999999999</v>
      </c>
      <c r="S55" s="14">
        <v>1</v>
      </c>
      <c r="T55" s="14">
        <f t="shared" si="76"/>
        <v>1272.6199999999999</v>
      </c>
      <c r="U55" s="14">
        <v>1</v>
      </c>
      <c r="V55" s="14">
        <f t="shared" si="22"/>
        <v>1272.6199999999999</v>
      </c>
    </row>
    <row r="56" spans="1:22" s="17" customFormat="1" ht="11.25" x14ac:dyDescent="0.2">
      <c r="A56" s="44" t="s">
        <v>12</v>
      </c>
      <c r="B56" s="1"/>
      <c r="C56" s="1" t="s">
        <v>11</v>
      </c>
      <c r="D56" s="1" t="s">
        <v>65</v>
      </c>
      <c r="E56" s="21">
        <f>Fator!$C$11</f>
        <v>1.3</v>
      </c>
      <c r="F56" s="45">
        <v>2478.52</v>
      </c>
      <c r="G56" s="14">
        <v>0</v>
      </c>
      <c r="H56" s="14">
        <f t="shared" si="14"/>
        <v>0</v>
      </c>
      <c r="I56" s="14">
        <v>1</v>
      </c>
      <c r="J56" s="14">
        <f t="shared" si="66"/>
        <v>2478.52</v>
      </c>
      <c r="K56" s="14">
        <v>1</v>
      </c>
      <c r="L56" s="14">
        <f t="shared" si="67"/>
        <v>2478.52</v>
      </c>
      <c r="M56" s="14">
        <v>1</v>
      </c>
      <c r="N56" s="14">
        <f t="shared" si="60"/>
        <v>2478.52</v>
      </c>
      <c r="O56" s="14">
        <v>0</v>
      </c>
      <c r="P56" s="14">
        <f t="shared" si="19"/>
        <v>0</v>
      </c>
      <c r="Q56" s="14">
        <v>1</v>
      </c>
      <c r="R56" s="14">
        <f t="shared" si="75"/>
        <v>2478.52</v>
      </c>
      <c r="S56" s="14">
        <v>1</v>
      </c>
      <c r="T56" s="14">
        <f t="shared" si="76"/>
        <v>2478.52</v>
      </c>
      <c r="U56" s="14">
        <v>1</v>
      </c>
      <c r="V56" s="14">
        <f t="shared" si="22"/>
        <v>2478.52</v>
      </c>
    </row>
    <row r="57" spans="1:22" s="17" customFormat="1" ht="11.25" x14ac:dyDescent="0.2">
      <c r="A57" s="44" t="s">
        <v>10</v>
      </c>
      <c r="B57" s="1"/>
      <c r="C57" s="1" t="s">
        <v>11</v>
      </c>
      <c r="D57" s="1" t="s">
        <v>65</v>
      </c>
      <c r="E57" s="21">
        <f>Fator!$C$12</f>
        <v>1.3</v>
      </c>
      <c r="F57" s="45">
        <v>2478.52</v>
      </c>
      <c r="G57" s="14">
        <v>0</v>
      </c>
      <c r="H57" s="14">
        <f t="shared" si="14"/>
        <v>0</v>
      </c>
      <c r="I57" s="14">
        <v>1</v>
      </c>
      <c r="J57" s="14">
        <f t="shared" si="66"/>
        <v>2478.52</v>
      </c>
      <c r="K57" s="14">
        <v>1</v>
      </c>
      <c r="L57" s="14">
        <f t="shared" si="67"/>
        <v>2478.52</v>
      </c>
      <c r="M57" s="14">
        <v>1</v>
      </c>
      <c r="N57" s="14">
        <f t="shared" si="60"/>
        <v>2478.52</v>
      </c>
      <c r="O57" s="14">
        <v>0</v>
      </c>
      <c r="P57" s="14">
        <f t="shared" si="19"/>
        <v>0</v>
      </c>
      <c r="Q57" s="14">
        <v>1</v>
      </c>
      <c r="R57" s="14">
        <f t="shared" si="75"/>
        <v>2478.52</v>
      </c>
      <c r="S57" s="14">
        <v>1</v>
      </c>
      <c r="T57" s="14">
        <f t="shared" si="76"/>
        <v>2478.52</v>
      </c>
      <c r="U57" s="14">
        <v>1</v>
      </c>
      <c r="V57" s="14">
        <f t="shared" si="22"/>
        <v>2478.52</v>
      </c>
    </row>
    <row r="58" spans="1:22" s="17" customFormat="1" ht="11.25" x14ac:dyDescent="0.2">
      <c r="A58" s="44" t="s">
        <v>40</v>
      </c>
      <c r="B58" s="1"/>
      <c r="C58" s="1" t="s">
        <v>11</v>
      </c>
      <c r="D58" s="1" t="s">
        <v>65</v>
      </c>
      <c r="E58" s="21">
        <f>Fator!$C$13</f>
        <v>4</v>
      </c>
      <c r="F58" s="45">
        <v>7626.2</v>
      </c>
      <c r="G58" s="14">
        <v>0</v>
      </c>
      <c r="H58" s="14">
        <f t="shared" si="14"/>
        <v>0</v>
      </c>
      <c r="I58" s="14">
        <v>1</v>
      </c>
      <c r="J58" s="14">
        <f t="shared" si="66"/>
        <v>7626.2</v>
      </c>
      <c r="K58" s="14">
        <v>1</v>
      </c>
      <c r="L58" s="14">
        <f t="shared" si="67"/>
        <v>7626.2</v>
      </c>
      <c r="M58" s="14">
        <v>1</v>
      </c>
      <c r="N58" s="14">
        <f t="shared" si="60"/>
        <v>7626.2</v>
      </c>
      <c r="O58" s="14">
        <v>0</v>
      </c>
      <c r="P58" s="14">
        <f t="shared" si="19"/>
        <v>0</v>
      </c>
      <c r="Q58" s="14">
        <v>1</v>
      </c>
      <c r="R58" s="14">
        <f t="shared" si="75"/>
        <v>7626.2</v>
      </c>
      <c r="S58" s="14">
        <v>1</v>
      </c>
      <c r="T58" s="14">
        <f t="shared" si="76"/>
        <v>7626.2</v>
      </c>
      <c r="U58" s="14">
        <v>1</v>
      </c>
      <c r="V58" s="14">
        <f t="shared" si="22"/>
        <v>7626.2</v>
      </c>
    </row>
    <row r="59" spans="1:22" s="17" customFormat="1" ht="12" customHeight="1" x14ac:dyDescent="0.2">
      <c r="A59" s="2" t="s">
        <v>124</v>
      </c>
      <c r="B59" s="1"/>
      <c r="C59" s="1" t="s">
        <v>6</v>
      </c>
      <c r="D59" s="1" t="s">
        <v>66</v>
      </c>
      <c r="E59" s="1"/>
      <c r="F59" s="66">
        <f>'Cotações regionais'!I78</f>
        <v>3.21</v>
      </c>
      <c r="G59" s="14">
        <f t="shared" ref="G59" si="77">1*$C$4</f>
        <v>1</v>
      </c>
      <c r="H59" s="14">
        <f>ROUND($F59*G59,2)</f>
        <v>3.21</v>
      </c>
      <c r="I59" s="14">
        <f t="shared" ref="I59" si="78">1*$C$4</f>
        <v>1</v>
      </c>
      <c r="J59" s="14">
        <f t="shared" si="66"/>
        <v>3.21</v>
      </c>
      <c r="K59" s="14">
        <f t="shared" ref="K59" si="79">1*$C$4</f>
        <v>1</v>
      </c>
      <c r="L59" s="14">
        <f t="shared" si="67"/>
        <v>3.21</v>
      </c>
      <c r="M59" s="14">
        <f t="shared" ref="M59" si="80">1*$C$4</f>
        <v>1</v>
      </c>
      <c r="N59" s="14">
        <f t="shared" si="60"/>
        <v>3.21</v>
      </c>
      <c r="O59" s="14">
        <f t="shared" ref="O59" si="81">1*$C$4</f>
        <v>1</v>
      </c>
      <c r="P59" s="14">
        <f t="shared" si="19"/>
        <v>3.21</v>
      </c>
      <c r="Q59" s="14">
        <f>1*$C$4</f>
        <v>1</v>
      </c>
      <c r="R59" s="14">
        <f t="shared" si="75"/>
        <v>3.21</v>
      </c>
      <c r="S59" s="14">
        <f>1*$C$4</f>
        <v>1</v>
      </c>
      <c r="T59" s="14">
        <f t="shared" si="76"/>
        <v>3.21</v>
      </c>
      <c r="U59" s="14">
        <f>1*$C$4</f>
        <v>1</v>
      </c>
      <c r="V59" s="14">
        <f t="shared" si="22"/>
        <v>3.21</v>
      </c>
    </row>
    <row r="60" spans="1:22" s="17" customFormat="1" ht="11.25" x14ac:dyDescent="0.2">
      <c r="A60" s="291" t="s">
        <v>4</v>
      </c>
      <c r="B60" s="292"/>
      <c r="C60" s="292"/>
      <c r="D60" s="292"/>
      <c r="E60" s="292"/>
      <c r="F60" s="293"/>
      <c r="G60" s="289">
        <f>SUM(H15:H59)-H20-H21</f>
        <v>55182.330000000024</v>
      </c>
      <c r="H60" s="290"/>
      <c r="I60" s="289">
        <f>SUM(J15:J59)-J20-J21</f>
        <v>446560.23</v>
      </c>
      <c r="J60" s="290"/>
      <c r="K60" s="289">
        <f>SUM(L15:L59)-L20-L21</f>
        <v>1012674.0700000002</v>
      </c>
      <c r="L60" s="290"/>
      <c r="M60" s="289">
        <f>SUM(N15:N59)-N20-N21</f>
        <v>1422119.8800000001</v>
      </c>
      <c r="N60" s="290"/>
      <c r="O60" s="289">
        <f>SUM(P15:P59)-P20-P21</f>
        <v>30830.67</v>
      </c>
      <c r="P60" s="290"/>
      <c r="Q60" s="289">
        <f>SUM(R15:R59)-R20-R21</f>
        <v>38578.660000000011</v>
      </c>
      <c r="R60" s="290"/>
      <c r="S60" s="289">
        <f>SUM(T15:T59)-T20-T21</f>
        <v>96054.310000000027</v>
      </c>
      <c r="T60" s="290"/>
      <c r="U60" s="289">
        <f>SUM(V15:V59)-V20-V21</f>
        <v>1196393.7500000002</v>
      </c>
      <c r="V60" s="290"/>
    </row>
    <row r="61" spans="1:22" s="17" customFormat="1" ht="11.25" x14ac:dyDescent="0.2">
      <c r="A61" s="291" t="s">
        <v>17</v>
      </c>
      <c r="B61" s="292"/>
      <c r="C61" s="292"/>
      <c r="D61" s="292"/>
      <c r="E61" s="292"/>
      <c r="F61" s="293" t="s">
        <v>16</v>
      </c>
      <c r="G61" s="289">
        <f>ROUND(G60*5%,2)</f>
        <v>2759.12</v>
      </c>
      <c r="H61" s="290"/>
      <c r="I61" s="289">
        <f>ROUND(I60*5%,2)</f>
        <v>22328.01</v>
      </c>
      <c r="J61" s="290"/>
      <c r="K61" s="289">
        <f>ROUND(K60*5%,2)</f>
        <v>50633.7</v>
      </c>
      <c r="L61" s="290"/>
      <c r="M61" s="289">
        <f>ROUND(M60*5%,2)</f>
        <v>71105.990000000005</v>
      </c>
      <c r="N61" s="290"/>
      <c r="O61" s="289">
        <f>ROUND(O60*5%,2)</f>
        <v>1541.53</v>
      </c>
      <c r="P61" s="290"/>
      <c r="Q61" s="289">
        <f>ROUND(Q60*5%,2)</f>
        <v>1928.93</v>
      </c>
      <c r="R61" s="290"/>
      <c r="S61" s="289">
        <f>ROUND(S60*5%,2)</f>
        <v>4802.72</v>
      </c>
      <c r="T61" s="290"/>
      <c r="U61" s="289">
        <f>ROUND(U60*5%,2)</f>
        <v>59819.69</v>
      </c>
      <c r="V61" s="290"/>
    </row>
    <row r="62" spans="1:22" s="17" customFormat="1" ht="11.25" x14ac:dyDescent="0.2">
      <c r="A62" s="49"/>
      <c r="B62" s="68"/>
      <c r="C62" s="50"/>
      <c r="D62" s="50"/>
      <c r="E62" s="50"/>
      <c r="F62" s="51" t="s">
        <v>125</v>
      </c>
      <c r="G62" s="289">
        <f>G60+G61</f>
        <v>57941.450000000026</v>
      </c>
      <c r="H62" s="290"/>
      <c r="I62" s="289">
        <f>I60+I61</f>
        <v>468888.24</v>
      </c>
      <c r="J62" s="290"/>
      <c r="K62" s="289">
        <f>K60+K61</f>
        <v>1063307.7700000003</v>
      </c>
      <c r="L62" s="290"/>
      <c r="M62" s="289">
        <f>M60+M61</f>
        <v>1493225.87</v>
      </c>
      <c r="N62" s="290"/>
      <c r="O62" s="289">
        <f>O60+O61</f>
        <v>32372.199999999997</v>
      </c>
      <c r="P62" s="290"/>
      <c r="Q62" s="289">
        <f>Q60+Q61</f>
        <v>40507.590000000011</v>
      </c>
      <c r="R62" s="290"/>
      <c r="S62" s="289">
        <f>S60+S61</f>
        <v>100857.03000000003</v>
      </c>
      <c r="T62" s="290"/>
      <c r="U62" s="289">
        <f>U60+U61</f>
        <v>1256213.4400000002</v>
      </c>
      <c r="V62" s="290"/>
    </row>
    <row r="63" spans="1:22" s="17" customFormat="1" ht="11.25" x14ac:dyDescent="0.2">
      <c r="A63" s="291" t="s">
        <v>129</v>
      </c>
      <c r="B63" s="292"/>
      <c r="C63" s="292"/>
      <c r="D63" s="292"/>
      <c r="E63" s="292"/>
      <c r="F63" s="293"/>
      <c r="G63" s="289">
        <f>TRUNC(G62*25.7%,2)</f>
        <v>14890.95</v>
      </c>
      <c r="H63" s="290"/>
      <c r="I63" s="289">
        <f>TRUNC(I62*25.7%,2)</f>
        <v>120504.27</v>
      </c>
      <c r="J63" s="290"/>
      <c r="K63" s="289">
        <f>TRUNC(K62*25.7%,2)</f>
        <v>273270.09000000003</v>
      </c>
      <c r="L63" s="290"/>
      <c r="M63" s="289">
        <f>TRUNC(M62*25.7%,2)</f>
        <v>383759.04</v>
      </c>
      <c r="N63" s="290"/>
      <c r="O63" s="289">
        <f>TRUNC(O62*25.7%,2)</f>
        <v>8319.65</v>
      </c>
      <c r="P63" s="290"/>
      <c r="Q63" s="289">
        <f>TRUNC(Q62*25.7%,2)</f>
        <v>10410.450000000001</v>
      </c>
      <c r="R63" s="290"/>
      <c r="S63" s="289">
        <f>TRUNC(S62*25.7%,2)</f>
        <v>25920.25</v>
      </c>
      <c r="T63" s="290"/>
      <c r="U63" s="289">
        <f>TRUNC(U62*25.7%,2)</f>
        <v>322846.84999999998</v>
      </c>
      <c r="V63" s="290"/>
    </row>
    <row r="64" spans="1:22" s="17" customFormat="1" ht="11.25" x14ac:dyDescent="0.2">
      <c r="A64" s="291" t="s">
        <v>14</v>
      </c>
      <c r="B64" s="292"/>
      <c r="C64" s="292"/>
      <c r="D64" s="292"/>
      <c r="E64" s="292"/>
      <c r="F64" s="293"/>
      <c r="G64" s="289">
        <f>G62+G63</f>
        <v>72832.400000000023</v>
      </c>
      <c r="H64" s="290"/>
      <c r="I64" s="289">
        <f>I62+I63</f>
        <v>589392.51</v>
      </c>
      <c r="J64" s="290"/>
      <c r="K64" s="289">
        <f>K62+K63</f>
        <v>1336577.8600000003</v>
      </c>
      <c r="L64" s="290"/>
      <c r="M64" s="289">
        <f>M62+M63</f>
        <v>1876984.9100000001</v>
      </c>
      <c r="N64" s="290"/>
      <c r="O64" s="289">
        <f>O62+O63</f>
        <v>40691.85</v>
      </c>
      <c r="P64" s="290"/>
      <c r="Q64" s="289">
        <f>Q62+Q63</f>
        <v>50918.040000000008</v>
      </c>
      <c r="R64" s="290"/>
      <c r="S64" s="289">
        <f>S62+S63</f>
        <v>126777.28000000003</v>
      </c>
      <c r="T64" s="290"/>
      <c r="U64" s="289">
        <f>U62+U63</f>
        <v>1579060.29</v>
      </c>
      <c r="V64" s="290"/>
    </row>
    <row r="65" spans="1:22" x14ac:dyDescent="0.2">
      <c r="A65" s="12"/>
      <c r="B65" s="23"/>
      <c r="C65" s="12"/>
      <c r="D65" s="12"/>
      <c r="E65" s="12"/>
      <c r="F65" s="23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 ht="13.5" customHeight="1" x14ac:dyDescent="0.2">
      <c r="A66" s="12" t="s">
        <v>15</v>
      </c>
      <c r="B66" s="23"/>
      <c r="C66" s="12"/>
      <c r="D66" s="12"/>
      <c r="E66" s="12"/>
      <c r="F66" s="23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x14ac:dyDescent="0.2">
      <c r="A67" s="12" t="s">
        <v>44</v>
      </c>
      <c r="B67" s="23"/>
      <c r="C67" s="12"/>
      <c r="D67" s="12"/>
      <c r="E67" s="12"/>
      <c r="F67" s="23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 x14ac:dyDescent="0.2">
      <c r="A68" s="12" t="s">
        <v>26</v>
      </c>
      <c r="B68" s="23"/>
      <c r="C68" s="12"/>
      <c r="D68" s="12"/>
      <c r="E68" s="12"/>
      <c r="F68" s="23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 x14ac:dyDescent="0.2">
      <c r="A69" s="12" t="s">
        <v>42</v>
      </c>
      <c r="B69" s="23"/>
      <c r="C69" s="12"/>
      <c r="D69" s="12"/>
      <c r="E69" s="12"/>
      <c r="F69" s="23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 x14ac:dyDescent="0.2">
      <c r="A70" s="15" t="s">
        <v>76</v>
      </c>
      <c r="C70" s="12"/>
      <c r="D70" s="12"/>
      <c r="E70" s="12"/>
      <c r="F70" s="23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x14ac:dyDescent="0.2">
      <c r="A71" s="12" t="s">
        <v>46</v>
      </c>
      <c r="B71" s="23"/>
      <c r="C71" s="12"/>
      <c r="D71" s="12"/>
      <c r="E71" s="12"/>
      <c r="F71" s="23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 x14ac:dyDescent="0.2">
      <c r="A72" s="12" t="s">
        <v>45</v>
      </c>
      <c r="B72" s="23"/>
      <c r="C72" s="12"/>
      <c r="D72" s="12"/>
      <c r="E72" s="12"/>
      <c r="F72" s="23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 x14ac:dyDescent="0.2">
      <c r="A73" s="12" t="s">
        <v>77</v>
      </c>
      <c r="B73" s="23"/>
      <c r="C73" s="12"/>
      <c r="D73" s="12"/>
      <c r="E73" s="12"/>
      <c r="F73" s="23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 x14ac:dyDescent="0.2">
      <c r="A74" s="12" t="s">
        <v>47</v>
      </c>
      <c r="B74" s="23"/>
      <c r="C74" s="12"/>
      <c r="D74" s="12"/>
      <c r="E74" s="12"/>
      <c r="F74" s="23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 x14ac:dyDescent="0.2">
      <c r="A75" s="12" t="s">
        <v>48</v>
      </c>
      <c r="B75" s="23"/>
      <c r="C75" s="12"/>
      <c r="D75" s="12"/>
      <c r="E75" s="12"/>
      <c r="F75" s="23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 x14ac:dyDescent="0.2">
      <c r="A76" s="15" t="s">
        <v>104</v>
      </c>
    </row>
  </sheetData>
  <mergeCells count="67">
    <mergeCell ref="G62:H62"/>
    <mergeCell ref="I62:J62"/>
    <mergeCell ref="K62:L62"/>
    <mergeCell ref="M62:N62"/>
    <mergeCell ref="O62:P62"/>
    <mergeCell ref="C7:E7"/>
    <mergeCell ref="U64:V64"/>
    <mergeCell ref="U63:V63"/>
    <mergeCell ref="U61:V61"/>
    <mergeCell ref="U60:V60"/>
    <mergeCell ref="Q60:R60"/>
    <mergeCell ref="Q61:R61"/>
    <mergeCell ref="Q63:R63"/>
    <mergeCell ref="Q64:R64"/>
    <mergeCell ref="S60:T60"/>
    <mergeCell ref="S61:T61"/>
    <mergeCell ref="S63:T63"/>
    <mergeCell ref="S64:T64"/>
    <mergeCell ref="Q62:R62"/>
    <mergeCell ref="S62:T62"/>
    <mergeCell ref="U62:V62"/>
    <mergeCell ref="A8:B8"/>
    <mergeCell ref="I61:J61"/>
    <mergeCell ref="K61:L61"/>
    <mergeCell ref="M60:N60"/>
    <mergeCell ref="O60:P60"/>
    <mergeCell ref="A60:F60"/>
    <mergeCell ref="G60:H60"/>
    <mergeCell ref="I60:J60"/>
    <mergeCell ref="K60:L60"/>
    <mergeCell ref="C8:C10"/>
    <mergeCell ref="F8:F10"/>
    <mergeCell ref="D8:E10"/>
    <mergeCell ref="G9:H9"/>
    <mergeCell ref="G8:H8"/>
    <mergeCell ref="M64:N64"/>
    <mergeCell ref="O64:P64"/>
    <mergeCell ref="A61:F61"/>
    <mergeCell ref="O63:P63"/>
    <mergeCell ref="O61:P61"/>
    <mergeCell ref="A64:F64"/>
    <mergeCell ref="G64:H64"/>
    <mergeCell ref="I64:J64"/>
    <mergeCell ref="K64:L64"/>
    <mergeCell ref="A63:F63"/>
    <mergeCell ref="G63:H63"/>
    <mergeCell ref="I63:J63"/>
    <mergeCell ref="M63:N63"/>
    <mergeCell ref="K63:L63"/>
    <mergeCell ref="M61:N61"/>
    <mergeCell ref="G61:H61"/>
    <mergeCell ref="I7:N7"/>
    <mergeCell ref="I8:J8"/>
    <mergeCell ref="I9:J9"/>
    <mergeCell ref="K8:L8"/>
    <mergeCell ref="K9:L9"/>
    <mergeCell ref="M8:N8"/>
    <mergeCell ref="M9:N9"/>
    <mergeCell ref="U7:V7"/>
    <mergeCell ref="U8:V8"/>
    <mergeCell ref="U9:V9"/>
    <mergeCell ref="O8:P8"/>
    <mergeCell ref="O9:P9"/>
    <mergeCell ref="Q8:R8"/>
    <mergeCell ref="Q9:R9"/>
    <mergeCell ref="S8:T8"/>
    <mergeCell ref="S9:T9"/>
  </mergeCells>
  <printOptions horizontalCentered="1" verticalCentered="1"/>
  <pageMargins left="0" right="0" top="0" bottom="0" header="0" footer="0"/>
  <pageSetup paperSize="8" scale="71" orientation="landscape" r:id="rId1"/>
  <ignoredErrors>
    <ignoredError sqref="T30 V32:V34 T39:T40 V36:V37 V58:V59 V53:V54 V42:V51 T25 R58:R59 T58:T59 H39:H40 H42:H51 H32:H34 H53:H58 J25 J39:J40 J36:J37 J32:J34 I53:J54 L25 L39:L40 L42:L50 L33:L34 N24:N25 N39:N40 N42:N50 N33:N34 P55:P58 P39:P40 P32:P37 P43:P48 P30 R25 R39:R40 R32:R37 H22:N22 R30 Q55:V57 T32:T37 Q15:V17 H15:O17 K52:N52 P50:P51 I50:J50 J42:J49 J55:J59 L53:L59 N53:N59 R42:R54 T42:T54 H36 J51:N51 V40 N36:N37 L36:L37 P22:T22 P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zoomScale="160" zoomScaleNormal="160" workbookViewId="0">
      <selection activeCell="A15" sqref="A15"/>
    </sheetView>
  </sheetViews>
  <sheetFormatPr defaultRowHeight="12" x14ac:dyDescent="0.2"/>
  <cols>
    <col min="1" max="1" width="40.1640625" style="7" customWidth="1"/>
    <col min="2" max="2" width="10.83203125" style="8" customWidth="1"/>
    <col min="3" max="3" width="9.33203125" style="8"/>
    <col min="4" max="4" width="9.33203125" style="7"/>
    <col min="5" max="5" width="4.83203125" style="7" customWidth="1"/>
    <col min="6" max="16384" width="9.33203125" style="7"/>
  </cols>
  <sheetData>
    <row r="1" spans="1:4" x14ac:dyDescent="0.2">
      <c r="A1" s="9" t="s">
        <v>5</v>
      </c>
      <c r="B1" s="9" t="s">
        <v>2</v>
      </c>
      <c r="C1" s="62" t="s">
        <v>70</v>
      </c>
      <c r="D1" s="64">
        <v>1906.55</v>
      </c>
    </row>
    <row r="2" spans="1:4" x14ac:dyDescent="0.2">
      <c r="A2" s="10" t="s">
        <v>31</v>
      </c>
      <c r="B2" s="11" t="s">
        <v>13</v>
      </c>
      <c r="C2" s="19">
        <v>0.7</v>
      </c>
      <c r="D2" s="63">
        <f t="shared" ref="D2:D12" si="0">C2*$D$1</f>
        <v>1334.5849999999998</v>
      </c>
    </row>
    <row r="3" spans="1:4" x14ac:dyDescent="0.2">
      <c r="A3" s="10" t="s">
        <v>59</v>
      </c>
      <c r="B3" s="11" t="s">
        <v>13</v>
      </c>
      <c r="C3" s="19">
        <v>1</v>
      </c>
      <c r="D3" s="63">
        <f t="shared" si="0"/>
        <v>1906.55</v>
      </c>
    </row>
    <row r="4" spans="1:4" x14ac:dyDescent="0.2">
      <c r="A4" s="10" t="s">
        <v>34</v>
      </c>
      <c r="B4" s="11" t="s">
        <v>13</v>
      </c>
      <c r="C4" s="19">
        <v>0.6</v>
      </c>
      <c r="D4" s="63">
        <f t="shared" si="0"/>
        <v>1143.9299999999998</v>
      </c>
    </row>
    <row r="5" spans="1:4" x14ac:dyDescent="0.2">
      <c r="A5" s="10" t="s">
        <v>72</v>
      </c>
      <c r="B5" s="11" t="s">
        <v>13</v>
      </c>
      <c r="C5" s="19">
        <v>0.35</v>
      </c>
      <c r="D5" s="63">
        <f t="shared" si="0"/>
        <v>667.2924999999999</v>
      </c>
    </row>
    <row r="6" spans="1:4" x14ac:dyDescent="0.2">
      <c r="A6" s="10" t="s">
        <v>71</v>
      </c>
      <c r="B6" s="11" t="s">
        <v>13</v>
      </c>
      <c r="C6" s="19">
        <v>0.6</v>
      </c>
      <c r="D6" s="63">
        <f t="shared" si="0"/>
        <v>1143.9299999999998</v>
      </c>
    </row>
    <row r="7" spans="1:4" x14ac:dyDescent="0.2">
      <c r="A7" s="10" t="s">
        <v>35</v>
      </c>
      <c r="B7" s="11" t="s">
        <v>13</v>
      </c>
      <c r="C7" s="19">
        <v>0.6</v>
      </c>
      <c r="D7" s="63">
        <f t="shared" si="0"/>
        <v>1143.9299999999998</v>
      </c>
    </row>
    <row r="8" spans="1:4" x14ac:dyDescent="0.2">
      <c r="A8" s="10" t="s">
        <v>36</v>
      </c>
      <c r="B8" s="11" t="s">
        <v>13</v>
      </c>
      <c r="C8" s="19">
        <v>0.3</v>
      </c>
      <c r="D8" s="63">
        <f t="shared" si="0"/>
        <v>571.96499999999992</v>
      </c>
    </row>
    <row r="9" spans="1:4" x14ac:dyDescent="0.2">
      <c r="A9" s="10" t="s">
        <v>39</v>
      </c>
      <c r="B9" s="11" t="s">
        <v>13</v>
      </c>
      <c r="C9" s="19">
        <v>0.2</v>
      </c>
      <c r="D9" s="63">
        <f t="shared" si="0"/>
        <v>381.31</v>
      </c>
    </row>
    <row r="10" spans="1:4" x14ac:dyDescent="0.2">
      <c r="A10" s="10" t="s">
        <v>43</v>
      </c>
      <c r="B10" s="11" t="s">
        <v>13</v>
      </c>
      <c r="C10" s="19">
        <f>C2</f>
        <v>0.7</v>
      </c>
      <c r="D10" s="63">
        <f t="shared" si="0"/>
        <v>1334.5849999999998</v>
      </c>
    </row>
    <row r="11" spans="1:4" x14ac:dyDescent="0.2">
      <c r="A11" s="10" t="s">
        <v>12</v>
      </c>
      <c r="B11" s="11" t="s">
        <v>11</v>
      </c>
      <c r="C11" s="19">
        <v>1.3</v>
      </c>
      <c r="D11" s="63">
        <f t="shared" si="0"/>
        <v>2478.5149999999999</v>
      </c>
    </row>
    <row r="12" spans="1:4" x14ac:dyDescent="0.2">
      <c r="A12" s="10" t="s">
        <v>10</v>
      </c>
      <c r="B12" s="11" t="s">
        <v>11</v>
      </c>
      <c r="C12" s="19">
        <v>1.3</v>
      </c>
      <c r="D12" s="63">
        <f t="shared" si="0"/>
        <v>2478.5149999999999</v>
      </c>
    </row>
    <row r="13" spans="1:4" x14ac:dyDescent="0.2">
      <c r="A13" s="10" t="s">
        <v>40</v>
      </c>
      <c r="B13" s="11" t="s">
        <v>11</v>
      </c>
      <c r="C13" s="19">
        <v>4</v>
      </c>
      <c r="D13" s="63">
        <f>C13*$D$1</f>
        <v>7626.2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showGridLines="0" workbookViewId="0">
      <selection activeCell="I9" sqref="I9"/>
    </sheetView>
  </sheetViews>
  <sheetFormatPr defaultRowHeight="12.75" x14ac:dyDescent="0.2"/>
  <cols>
    <col min="1" max="1" width="22" bestFit="1" customWidth="1"/>
    <col min="2" max="2" width="25.6640625" style="36" customWidth="1"/>
    <col min="3" max="3" width="10.83203125" style="36" customWidth="1"/>
    <col min="4" max="4" width="11" customWidth="1"/>
    <col min="5" max="5" width="5.33203125" bestFit="1" customWidth="1"/>
    <col min="6" max="6" width="23.1640625" customWidth="1"/>
    <col min="8" max="9" width="9.33203125" style="88"/>
  </cols>
  <sheetData>
    <row r="1" spans="1:10" ht="30" customHeight="1" thickTop="1" thickBot="1" x14ac:dyDescent="0.25">
      <c r="A1" s="318" t="s">
        <v>79</v>
      </c>
      <c r="B1" s="318"/>
      <c r="C1" s="318"/>
      <c r="D1" s="318"/>
      <c r="E1" s="25">
        <v>20</v>
      </c>
      <c r="F1" s="26" t="s">
        <v>80</v>
      </c>
      <c r="H1" s="88">
        <v>150</v>
      </c>
    </row>
    <row r="2" spans="1:10" ht="16.5" customHeight="1" thickTop="1" thickBot="1" x14ac:dyDescent="0.25">
      <c r="A2" s="27" t="s">
        <v>81</v>
      </c>
      <c r="B2" s="34" t="s">
        <v>82</v>
      </c>
      <c r="C2" s="38" t="s">
        <v>83</v>
      </c>
      <c r="D2" s="37" t="s">
        <v>84</v>
      </c>
      <c r="E2" s="37"/>
      <c r="F2" s="37" t="s">
        <v>85</v>
      </c>
      <c r="H2" s="88">
        <f>H1/2</f>
        <v>75</v>
      </c>
    </row>
    <row r="3" spans="1:10" ht="30.75" customHeight="1" thickTop="1" x14ac:dyDescent="0.2">
      <c r="A3" s="314" t="s">
        <v>91</v>
      </c>
      <c r="B3" s="28" t="s">
        <v>86</v>
      </c>
      <c r="C3" s="35">
        <v>1</v>
      </c>
      <c r="D3" s="33">
        <v>1</v>
      </c>
      <c r="E3" s="33"/>
      <c r="F3" s="28">
        <f>C3*D3</f>
        <v>1</v>
      </c>
    </row>
    <row r="4" spans="1:10" ht="15" customHeight="1" x14ac:dyDescent="0.2">
      <c r="A4" s="315"/>
      <c r="B4" s="28" t="s">
        <v>89</v>
      </c>
      <c r="C4" s="28">
        <v>1</v>
      </c>
      <c r="D4" s="30">
        <v>0.8</v>
      </c>
      <c r="E4" s="30"/>
      <c r="F4" s="28">
        <f t="shared" ref="F4:F5" si="0">C4*D4</f>
        <v>0.8</v>
      </c>
    </row>
    <row r="5" spans="1:10" ht="15" customHeight="1" x14ac:dyDescent="0.2">
      <c r="A5" s="315"/>
      <c r="B5" s="28" t="s">
        <v>90</v>
      </c>
      <c r="C5" s="28">
        <v>1</v>
      </c>
      <c r="D5" s="30">
        <v>0.8</v>
      </c>
      <c r="E5" s="30"/>
      <c r="F5" s="28">
        <f t="shared" si="0"/>
        <v>0.8</v>
      </c>
    </row>
    <row r="6" spans="1:10" ht="15" customHeight="1" thickBot="1" x14ac:dyDescent="0.25">
      <c r="A6" s="316"/>
      <c r="B6" s="28" t="s">
        <v>87</v>
      </c>
      <c r="C6" s="29">
        <v>2</v>
      </c>
      <c r="D6" s="31">
        <v>0.8</v>
      </c>
      <c r="E6" s="31"/>
      <c r="F6" s="28">
        <f t="shared" ref="F6" si="1">C6*D6</f>
        <v>1.6</v>
      </c>
    </row>
    <row r="7" spans="1:10" ht="16.5" thickTop="1" thickBot="1" x14ac:dyDescent="0.25">
      <c r="A7" s="317" t="s">
        <v>97</v>
      </c>
      <c r="B7" s="317"/>
      <c r="C7" s="317"/>
      <c r="D7" s="317"/>
      <c r="E7" s="37"/>
      <c r="F7" s="38">
        <f>SUM(F3:F6)</f>
        <v>4.2</v>
      </c>
    </row>
    <row r="8" spans="1:10" ht="15.75" thickTop="1" x14ac:dyDescent="0.2">
      <c r="A8" s="32" t="s">
        <v>94</v>
      </c>
      <c r="B8" s="35" t="s">
        <v>88</v>
      </c>
      <c r="C8" s="35">
        <v>20</v>
      </c>
      <c r="D8" s="33">
        <v>0.45</v>
      </c>
      <c r="E8" s="33"/>
      <c r="F8" s="28">
        <f>C8*D8</f>
        <v>9</v>
      </c>
    </row>
    <row r="9" spans="1:10" ht="29.25" customHeight="1" x14ac:dyDescent="0.2">
      <c r="A9" s="32" t="s">
        <v>93</v>
      </c>
      <c r="B9" s="28" t="s">
        <v>88</v>
      </c>
      <c r="C9" s="28">
        <f>C8/2</f>
        <v>10</v>
      </c>
      <c r="D9" s="30">
        <v>3</v>
      </c>
      <c r="E9" s="30"/>
      <c r="F9" s="28">
        <f t="shared" ref="F9:F13" si="2">C9*D9</f>
        <v>30</v>
      </c>
      <c r="H9" s="88">
        <f>ROUNDUP(H2/4,0)</f>
        <v>19</v>
      </c>
      <c r="I9" s="89" t="s">
        <v>165</v>
      </c>
      <c r="J9" s="88"/>
    </row>
    <row r="10" spans="1:10" ht="15" customHeight="1" x14ac:dyDescent="0.2">
      <c r="A10" s="32" t="s">
        <v>92</v>
      </c>
      <c r="B10" s="28" t="s">
        <v>88</v>
      </c>
      <c r="C10" s="28">
        <v>20</v>
      </c>
      <c r="D10" s="30">
        <v>1.75</v>
      </c>
      <c r="E10" s="30"/>
      <c r="F10" s="28">
        <f t="shared" si="2"/>
        <v>35</v>
      </c>
    </row>
    <row r="11" spans="1:10" ht="29.25" customHeight="1" x14ac:dyDescent="0.2">
      <c r="A11" s="32" t="s">
        <v>95</v>
      </c>
      <c r="B11" s="28" t="s">
        <v>88</v>
      </c>
      <c r="C11" s="28">
        <v>1</v>
      </c>
      <c r="D11" s="30">
        <v>12</v>
      </c>
      <c r="E11" s="30"/>
      <c r="F11" s="28">
        <f t="shared" si="2"/>
        <v>12</v>
      </c>
    </row>
    <row r="12" spans="1:10" ht="14.25" customHeight="1" x14ac:dyDescent="0.2">
      <c r="A12" s="32" t="s">
        <v>96</v>
      </c>
      <c r="B12" s="28" t="s">
        <v>88</v>
      </c>
      <c r="C12" s="28">
        <v>1</v>
      </c>
      <c r="D12" s="30">
        <v>3.8</v>
      </c>
      <c r="E12" s="30"/>
      <c r="F12" s="28">
        <f t="shared" si="2"/>
        <v>3.8</v>
      </c>
    </row>
    <row r="13" spans="1:10" ht="15" thickBot="1" x14ac:dyDescent="0.25">
      <c r="A13" s="31"/>
      <c r="B13" s="29"/>
      <c r="C13" s="29">
        <v>1</v>
      </c>
      <c r="D13" s="31">
        <v>0.32</v>
      </c>
      <c r="E13" s="31"/>
      <c r="F13" s="28">
        <f t="shared" si="2"/>
        <v>0.32</v>
      </c>
    </row>
    <row r="14" spans="1:10" ht="16.5" thickTop="1" thickBot="1" x14ac:dyDescent="0.25">
      <c r="A14" s="317" t="s">
        <v>97</v>
      </c>
      <c r="B14" s="317"/>
      <c r="C14" s="317"/>
      <c r="D14" s="317"/>
      <c r="E14" s="37"/>
      <c r="F14" s="38">
        <f>SUM(F8:F13)</f>
        <v>90.11999999999999</v>
      </c>
    </row>
    <row r="15" spans="1:10" ht="13.5" thickTop="1" x14ac:dyDescent="0.2"/>
    <row r="16" spans="1:10" ht="26.25" customHeight="1" x14ac:dyDescent="0.2">
      <c r="D16" s="7"/>
      <c r="E16" s="7"/>
      <c r="F16" s="7" t="s">
        <v>143</v>
      </c>
    </row>
    <row r="17" spans="1:6" ht="24" customHeight="1" x14ac:dyDescent="0.2">
      <c r="A17" s="312" t="s">
        <v>139</v>
      </c>
      <c r="B17" s="313"/>
      <c r="D17" s="72">
        <f>12*2.4</f>
        <v>28.799999999999997</v>
      </c>
      <c r="E17" s="7"/>
      <c r="F17" s="8">
        <v>5</v>
      </c>
    </row>
    <row r="18" spans="1:6" ht="5.0999999999999996" customHeight="1" x14ac:dyDescent="0.2">
      <c r="A18" s="70"/>
      <c r="B18" s="71"/>
      <c r="D18" s="72"/>
      <c r="E18" s="7"/>
      <c r="F18" s="8"/>
    </row>
    <row r="19" spans="1:6" ht="21" customHeight="1" x14ac:dyDescent="0.2">
      <c r="A19" s="312" t="s">
        <v>140</v>
      </c>
      <c r="B19" s="313"/>
      <c r="D19" s="72">
        <f>6*2.4</f>
        <v>14.399999999999999</v>
      </c>
      <c r="E19" s="7"/>
      <c r="F19" s="8">
        <v>4</v>
      </c>
    </row>
    <row r="20" spans="1:6" ht="5.0999999999999996" customHeight="1" x14ac:dyDescent="0.2">
      <c r="A20" s="70"/>
      <c r="B20" s="71"/>
      <c r="D20" s="72"/>
      <c r="E20" s="7"/>
      <c r="F20" s="8"/>
    </row>
    <row r="21" spans="1:6" ht="22.5" customHeight="1" x14ac:dyDescent="0.2">
      <c r="A21" s="312" t="s">
        <v>141</v>
      </c>
      <c r="B21" s="313"/>
      <c r="D21" s="72">
        <f>6*2.4</f>
        <v>14.399999999999999</v>
      </c>
      <c r="E21" s="7"/>
      <c r="F21" s="8">
        <v>4</v>
      </c>
    </row>
    <row r="22" spans="1:6" ht="5.0999999999999996" customHeight="1" x14ac:dyDescent="0.2">
      <c r="A22" s="70"/>
      <c r="B22" s="71"/>
      <c r="D22" s="72"/>
      <c r="E22" s="7"/>
      <c r="F22" s="8"/>
    </row>
    <row r="23" spans="1:6" ht="5.0999999999999996" customHeight="1" x14ac:dyDescent="0.2">
      <c r="A23" s="70"/>
      <c r="B23" s="71"/>
      <c r="D23" s="72"/>
      <c r="E23" s="7"/>
      <c r="F23" s="8"/>
    </row>
    <row r="24" spans="1:6" ht="27.75" customHeight="1" x14ac:dyDescent="0.2">
      <c r="A24" s="312" t="s">
        <v>142</v>
      </c>
      <c r="B24" s="313"/>
      <c r="D24" s="72">
        <f>2*6*2.4</f>
        <v>28.799999999999997</v>
      </c>
      <c r="E24" s="7"/>
      <c r="F24" s="8" t="s">
        <v>144</v>
      </c>
    </row>
    <row r="25" spans="1:6" ht="5.0999999999999996" customHeight="1" x14ac:dyDescent="0.2">
      <c r="A25" s="70"/>
      <c r="B25" s="71"/>
      <c r="D25" s="72"/>
      <c r="E25" s="7"/>
      <c r="F25" s="8"/>
    </row>
    <row r="26" spans="1:6" ht="51.75" customHeight="1" x14ac:dyDescent="0.2">
      <c r="A26" s="312" t="s">
        <v>145</v>
      </c>
      <c r="B26" s="313"/>
      <c r="D26" s="72">
        <f>6*2.4</f>
        <v>14.399999999999999</v>
      </c>
      <c r="E26" s="7"/>
      <c r="F26" s="8">
        <v>20</v>
      </c>
    </row>
    <row r="27" spans="1:6" ht="5.0999999999999996" customHeight="1" x14ac:dyDescent="0.2">
      <c r="A27" s="70"/>
      <c r="B27" s="71"/>
      <c r="D27" s="72"/>
      <c r="E27" s="7"/>
      <c r="F27" s="8"/>
    </row>
    <row r="28" spans="1:6" ht="12" customHeight="1" x14ac:dyDescent="0.2"/>
  </sheetData>
  <mergeCells count="9">
    <mergeCell ref="A26:B26"/>
    <mergeCell ref="A3:A6"/>
    <mergeCell ref="A14:D14"/>
    <mergeCell ref="A7:D7"/>
    <mergeCell ref="A1:D1"/>
    <mergeCell ref="A17:B17"/>
    <mergeCell ref="A19:B19"/>
    <mergeCell ref="A21:B21"/>
    <mergeCell ref="A24:B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B1:I213"/>
  <sheetViews>
    <sheetView topLeftCell="A141" workbookViewId="0">
      <selection activeCell="A186" sqref="A1:XFD1048576"/>
    </sheetView>
  </sheetViews>
  <sheetFormatPr defaultRowHeight="12.75" x14ac:dyDescent="0.2"/>
  <cols>
    <col min="1" max="1" width="9.33203125" style="48"/>
    <col min="2" max="2" width="19.5" style="48" customWidth="1"/>
    <col min="3" max="3" width="24.83203125" style="48" customWidth="1"/>
    <col min="4" max="5" width="26.5" style="48" customWidth="1"/>
    <col min="6" max="6" width="18.33203125" style="48" customWidth="1"/>
    <col min="7" max="7" width="35.6640625" style="48" customWidth="1"/>
    <col min="8" max="9" width="18.33203125" style="48" customWidth="1"/>
    <col min="10" max="16384" width="9.33203125" style="48"/>
  </cols>
  <sheetData>
    <row r="1" spans="2:9" ht="15.75" thickBot="1" x14ac:dyDescent="0.25">
      <c r="B1" s="324" t="s">
        <v>166</v>
      </c>
      <c r="C1" s="325"/>
      <c r="D1" s="325"/>
      <c r="E1" s="325"/>
      <c r="F1" s="325"/>
      <c r="G1" s="325"/>
      <c r="H1" s="325"/>
      <c r="I1" s="330"/>
    </row>
    <row r="2" spans="2:9" ht="15.75" thickBot="1" x14ac:dyDescent="0.25">
      <c r="B2" s="331" t="s">
        <v>106</v>
      </c>
      <c r="C2" s="331" t="s">
        <v>108</v>
      </c>
      <c r="D2" s="333" t="s">
        <v>109</v>
      </c>
      <c r="E2" s="334"/>
      <c r="F2" s="334"/>
      <c r="G2" s="334"/>
      <c r="H2" s="334"/>
      <c r="I2" s="335"/>
    </row>
    <row r="3" spans="2:9" ht="15.75" thickBot="1" x14ac:dyDescent="0.25">
      <c r="B3" s="332"/>
      <c r="C3" s="332"/>
      <c r="D3" s="90" t="s">
        <v>107</v>
      </c>
      <c r="E3" s="91" t="s">
        <v>167</v>
      </c>
      <c r="F3" s="92" t="s">
        <v>110</v>
      </c>
      <c r="G3" s="91" t="s">
        <v>107</v>
      </c>
      <c r="H3" s="91" t="s">
        <v>167</v>
      </c>
      <c r="I3" s="93" t="s">
        <v>111</v>
      </c>
    </row>
    <row r="4" spans="2:9" ht="15" x14ac:dyDescent="0.25">
      <c r="B4" s="336" t="s">
        <v>168</v>
      </c>
      <c r="C4" s="94" t="s">
        <v>113</v>
      </c>
      <c r="D4" s="94" t="s">
        <v>169</v>
      </c>
      <c r="E4" s="94" t="s">
        <v>170</v>
      </c>
      <c r="F4" s="95">
        <v>2150</v>
      </c>
      <c r="G4" s="96" t="s">
        <v>171</v>
      </c>
      <c r="H4" s="97" t="s">
        <v>172</v>
      </c>
      <c r="I4" s="98">
        <f>6900/8500</f>
        <v>0.81176470588235294</v>
      </c>
    </row>
    <row r="5" spans="2:9" ht="15" x14ac:dyDescent="0.25">
      <c r="B5" s="337"/>
      <c r="C5" s="99"/>
      <c r="D5" s="99" t="s">
        <v>173</v>
      </c>
      <c r="E5" s="99"/>
      <c r="F5" s="100">
        <v>2200</v>
      </c>
      <c r="G5" s="99" t="s">
        <v>174</v>
      </c>
      <c r="H5" s="101" t="s">
        <v>175</v>
      </c>
      <c r="I5" s="102">
        <f>18327/12218</f>
        <v>1.5</v>
      </c>
    </row>
    <row r="6" spans="2:9" ht="15" x14ac:dyDescent="0.25">
      <c r="B6" s="337"/>
      <c r="C6" s="99"/>
      <c r="D6" s="99" t="s">
        <v>176</v>
      </c>
      <c r="E6" s="99"/>
      <c r="F6" s="100">
        <v>2000</v>
      </c>
      <c r="G6" s="103" t="s">
        <v>177</v>
      </c>
      <c r="H6" s="101" t="s">
        <v>178</v>
      </c>
      <c r="I6" s="102">
        <f>2300/576</f>
        <v>3.9930555555555554</v>
      </c>
    </row>
    <row r="7" spans="2:9" ht="15" x14ac:dyDescent="0.25">
      <c r="B7" s="337"/>
      <c r="C7" s="99"/>
      <c r="D7" s="99" t="s">
        <v>173</v>
      </c>
      <c r="E7" s="99"/>
      <c r="F7" s="100">
        <v>2700</v>
      </c>
      <c r="G7" s="103" t="s">
        <v>179</v>
      </c>
      <c r="H7" s="101" t="s">
        <v>180</v>
      </c>
      <c r="I7" s="102">
        <f>4500/900</f>
        <v>5</v>
      </c>
    </row>
    <row r="8" spans="2:9" ht="15" x14ac:dyDescent="0.25">
      <c r="B8" s="337"/>
      <c r="C8" s="99"/>
      <c r="D8" s="99" t="s">
        <v>181</v>
      </c>
      <c r="E8" s="99"/>
      <c r="F8" s="100">
        <v>2800</v>
      </c>
      <c r="G8" s="103" t="s">
        <v>182</v>
      </c>
      <c r="H8" s="101" t="s">
        <v>183</v>
      </c>
      <c r="I8" s="102">
        <f>5000/12800</f>
        <v>0.390625</v>
      </c>
    </row>
    <row r="9" spans="2:9" ht="15" x14ac:dyDescent="0.25">
      <c r="B9" s="337"/>
      <c r="C9" s="99"/>
      <c r="D9" s="99" t="s">
        <v>184</v>
      </c>
      <c r="E9" s="99"/>
      <c r="F9" s="100">
        <v>1700</v>
      </c>
      <c r="G9" s="103" t="s">
        <v>185</v>
      </c>
      <c r="H9" s="101" t="s">
        <v>186</v>
      </c>
      <c r="I9" s="102">
        <f>1990/432</f>
        <v>4.6064814814814818</v>
      </c>
    </row>
    <row r="10" spans="2:9" ht="15" x14ac:dyDescent="0.25">
      <c r="B10" s="337"/>
      <c r="C10" s="99"/>
      <c r="D10" s="99" t="s">
        <v>187</v>
      </c>
      <c r="E10" s="99"/>
      <c r="F10" s="100">
        <v>1950</v>
      </c>
      <c r="G10" s="103"/>
      <c r="H10" s="101"/>
      <c r="I10" s="102"/>
    </row>
    <row r="11" spans="2:9" ht="15" x14ac:dyDescent="0.25">
      <c r="B11" s="337"/>
      <c r="C11" s="99"/>
      <c r="D11" s="99" t="s">
        <v>174</v>
      </c>
      <c r="E11" s="99"/>
      <c r="F11" s="100">
        <v>2500</v>
      </c>
      <c r="G11" s="103"/>
      <c r="H11" s="101"/>
      <c r="I11" s="102"/>
    </row>
    <row r="12" spans="2:9" ht="15" x14ac:dyDescent="0.25">
      <c r="B12" s="337"/>
      <c r="C12" s="99"/>
      <c r="D12" s="99" t="s">
        <v>185</v>
      </c>
      <c r="E12" s="99"/>
      <c r="F12" s="100">
        <v>2500</v>
      </c>
      <c r="G12" s="103"/>
      <c r="H12" s="101"/>
      <c r="I12" s="102"/>
    </row>
    <row r="13" spans="2:9" ht="15" x14ac:dyDescent="0.25">
      <c r="B13" s="337"/>
      <c r="C13" s="99"/>
      <c r="D13" s="99" t="s">
        <v>188</v>
      </c>
      <c r="E13" s="99"/>
      <c r="F13" s="100">
        <v>2000</v>
      </c>
      <c r="G13" s="103"/>
      <c r="H13" s="101"/>
      <c r="I13" s="102"/>
    </row>
    <row r="14" spans="2:9" ht="15" x14ac:dyDescent="0.25">
      <c r="B14" s="337"/>
      <c r="C14" s="99"/>
      <c r="D14" s="99" t="s">
        <v>176</v>
      </c>
      <c r="E14" s="99"/>
      <c r="F14" s="100">
        <v>2000</v>
      </c>
      <c r="G14" s="103"/>
      <c r="H14" s="101"/>
      <c r="I14" s="102"/>
    </row>
    <row r="15" spans="2:9" ht="15" x14ac:dyDescent="0.25">
      <c r="B15" s="337"/>
      <c r="C15" s="99"/>
      <c r="D15" s="99" t="s">
        <v>189</v>
      </c>
      <c r="E15" s="99"/>
      <c r="F15" s="100">
        <v>1900</v>
      </c>
      <c r="G15" s="103"/>
      <c r="H15" s="101"/>
      <c r="I15" s="102"/>
    </row>
    <row r="16" spans="2:9" ht="15" x14ac:dyDescent="0.25">
      <c r="B16" s="337"/>
      <c r="C16" s="104"/>
      <c r="D16" s="104"/>
      <c r="E16" s="104"/>
      <c r="F16" s="105"/>
      <c r="G16" s="106"/>
      <c r="H16" s="107"/>
      <c r="I16" s="108"/>
    </row>
    <row r="17" spans="2:9" ht="15" x14ac:dyDescent="0.25">
      <c r="B17" s="337"/>
      <c r="C17" s="99" t="s">
        <v>190</v>
      </c>
      <c r="D17" s="99" t="s">
        <v>191</v>
      </c>
      <c r="E17" s="109" t="s">
        <v>170</v>
      </c>
      <c r="F17" s="100">
        <v>2800</v>
      </c>
      <c r="G17" s="100" t="s">
        <v>192</v>
      </c>
      <c r="H17" s="110" t="s">
        <v>193</v>
      </c>
      <c r="I17" s="111">
        <f>1500/350</f>
        <v>4.2857142857142856</v>
      </c>
    </row>
    <row r="18" spans="2:9" x14ac:dyDescent="0.2">
      <c r="B18" s="337"/>
      <c r="C18" s="99"/>
      <c r="D18" s="99" t="s">
        <v>194</v>
      </c>
      <c r="E18" s="99"/>
      <c r="F18" s="100">
        <v>3500</v>
      </c>
      <c r="G18" s="100" t="s">
        <v>195</v>
      </c>
      <c r="H18" s="110" t="s">
        <v>196</v>
      </c>
      <c r="I18" s="111">
        <f>2500/608</f>
        <v>4.1118421052631575</v>
      </c>
    </row>
    <row r="19" spans="2:9" x14ac:dyDescent="0.2">
      <c r="B19" s="337"/>
      <c r="C19" s="99"/>
      <c r="D19" s="99" t="s">
        <v>192</v>
      </c>
      <c r="E19" s="99"/>
      <c r="F19" s="100">
        <v>1600</v>
      </c>
      <c r="G19" s="100" t="s">
        <v>197</v>
      </c>
      <c r="H19" s="110" t="s">
        <v>198</v>
      </c>
      <c r="I19" s="111">
        <f>2950/374</f>
        <v>7.8877005347593583</v>
      </c>
    </row>
    <row r="20" spans="2:9" x14ac:dyDescent="0.2">
      <c r="B20" s="337"/>
      <c r="C20" s="99"/>
      <c r="D20" s="99"/>
      <c r="E20" s="99"/>
      <c r="F20" s="100"/>
      <c r="G20" s="100" t="s">
        <v>192</v>
      </c>
      <c r="H20" s="110" t="s">
        <v>199</v>
      </c>
      <c r="I20" s="111">
        <f>3500/2000</f>
        <v>1.75</v>
      </c>
    </row>
    <row r="21" spans="2:9" x14ac:dyDescent="0.2">
      <c r="B21" s="337"/>
      <c r="C21" s="99"/>
      <c r="D21" s="99"/>
      <c r="E21" s="99"/>
      <c r="F21" s="100"/>
      <c r="G21" s="100"/>
      <c r="H21" s="110"/>
      <c r="I21" s="111"/>
    </row>
    <row r="22" spans="2:9" ht="15" x14ac:dyDescent="0.25">
      <c r="B22" s="337"/>
      <c r="C22" s="112" t="s">
        <v>200</v>
      </c>
      <c r="D22" s="112" t="s">
        <v>201</v>
      </c>
      <c r="E22" s="109" t="s">
        <v>170</v>
      </c>
      <c r="F22" s="113">
        <v>1350</v>
      </c>
      <c r="G22" s="113" t="s">
        <v>202</v>
      </c>
      <c r="H22" s="114" t="s">
        <v>203</v>
      </c>
      <c r="I22" s="115">
        <f>4000/600</f>
        <v>6.666666666666667</v>
      </c>
    </row>
    <row r="23" spans="2:9" x14ac:dyDescent="0.2">
      <c r="B23" s="337"/>
      <c r="C23" s="99"/>
      <c r="D23" s="99" t="s">
        <v>204</v>
      </c>
      <c r="E23" s="99"/>
      <c r="F23" s="100">
        <v>2800</v>
      </c>
      <c r="G23" s="100" t="s">
        <v>205</v>
      </c>
      <c r="H23" s="110" t="s">
        <v>206</v>
      </c>
      <c r="I23" s="111">
        <f>50000/41000</f>
        <v>1.2195121951219512</v>
      </c>
    </row>
    <row r="24" spans="2:9" x14ac:dyDescent="0.2">
      <c r="B24" s="337"/>
      <c r="C24" s="99"/>
      <c r="D24" s="99" t="s">
        <v>195</v>
      </c>
      <c r="E24" s="99"/>
      <c r="F24" s="100">
        <v>1450</v>
      </c>
      <c r="G24" s="116" t="s">
        <v>207</v>
      </c>
      <c r="H24" s="110" t="s">
        <v>208</v>
      </c>
      <c r="I24" s="111">
        <f>500/234</f>
        <v>2.1367521367521367</v>
      </c>
    </row>
    <row r="25" spans="2:9" x14ac:dyDescent="0.2">
      <c r="B25" s="337"/>
      <c r="C25" s="99"/>
      <c r="D25" s="99"/>
      <c r="E25" s="99"/>
      <c r="F25" s="100"/>
      <c r="G25" s="116" t="s">
        <v>209</v>
      </c>
      <c r="H25" s="110" t="s">
        <v>210</v>
      </c>
      <c r="I25" s="111">
        <f>2900/1200</f>
        <v>2.4166666666666665</v>
      </c>
    </row>
    <row r="26" spans="2:9" x14ac:dyDescent="0.2">
      <c r="B26" s="337"/>
      <c r="C26" s="99"/>
      <c r="D26" s="99"/>
      <c r="E26" s="99"/>
      <c r="F26" s="100"/>
      <c r="G26" s="116" t="s">
        <v>211</v>
      </c>
      <c r="H26" s="110" t="s">
        <v>212</v>
      </c>
      <c r="I26" s="111">
        <f>4250/1060</f>
        <v>4.0094339622641506</v>
      </c>
    </row>
    <row r="27" spans="2:9" x14ac:dyDescent="0.2">
      <c r="B27" s="337"/>
      <c r="C27" s="99"/>
      <c r="D27" s="99"/>
      <c r="E27" s="99"/>
      <c r="F27" s="100"/>
      <c r="G27" s="116" t="s">
        <v>213</v>
      </c>
      <c r="H27" s="110" t="s">
        <v>214</v>
      </c>
      <c r="I27" s="111">
        <f>590/564</f>
        <v>1.0460992907801419</v>
      </c>
    </row>
    <row r="28" spans="2:9" x14ac:dyDescent="0.2">
      <c r="B28" s="337"/>
      <c r="C28" s="99"/>
      <c r="D28" s="99"/>
      <c r="E28" s="99"/>
      <c r="F28" s="100"/>
      <c r="G28" s="100"/>
      <c r="H28" s="110"/>
      <c r="I28" s="111"/>
    </row>
    <row r="29" spans="2:9" ht="15" x14ac:dyDescent="0.25">
      <c r="B29" s="337"/>
      <c r="C29" s="112" t="s">
        <v>215</v>
      </c>
      <c r="D29" s="112" t="s">
        <v>216</v>
      </c>
      <c r="E29" s="109" t="s">
        <v>170</v>
      </c>
      <c r="F29" s="113">
        <v>2400</v>
      </c>
      <c r="G29" s="113" t="s">
        <v>217</v>
      </c>
      <c r="H29" s="114" t="s">
        <v>218</v>
      </c>
      <c r="I29" s="115">
        <f>7000/4800</f>
        <v>1.4583333333333333</v>
      </c>
    </row>
    <row r="30" spans="2:9" x14ac:dyDescent="0.2">
      <c r="B30" s="337"/>
      <c r="C30" s="99"/>
      <c r="D30" s="99" t="s">
        <v>216</v>
      </c>
      <c r="E30" s="99"/>
      <c r="F30" s="100">
        <v>2380</v>
      </c>
      <c r="G30" s="100" t="s">
        <v>195</v>
      </c>
      <c r="H30" s="110" t="s">
        <v>219</v>
      </c>
      <c r="I30" s="111">
        <f>2500/1170</f>
        <v>2.1367521367521367</v>
      </c>
    </row>
    <row r="31" spans="2:9" x14ac:dyDescent="0.2">
      <c r="B31" s="337"/>
      <c r="C31" s="99"/>
      <c r="D31" s="99" t="s">
        <v>220</v>
      </c>
      <c r="E31" s="99"/>
      <c r="F31" s="100">
        <v>1900</v>
      </c>
      <c r="G31" s="100" t="s">
        <v>221</v>
      </c>
      <c r="H31" s="110" t="s">
        <v>222</v>
      </c>
      <c r="I31" s="111">
        <f>10000/10000</f>
        <v>1</v>
      </c>
    </row>
    <row r="32" spans="2:9" x14ac:dyDescent="0.2">
      <c r="B32" s="337"/>
      <c r="C32" s="99"/>
      <c r="D32" s="99"/>
      <c r="E32" s="99"/>
      <c r="F32" s="100"/>
      <c r="G32" s="100"/>
      <c r="H32" s="110"/>
      <c r="I32" s="111"/>
    </row>
    <row r="33" spans="2:9" ht="15" x14ac:dyDescent="0.25">
      <c r="B33" s="337"/>
      <c r="C33" s="112" t="s">
        <v>223</v>
      </c>
      <c r="D33" s="112" t="s">
        <v>224</v>
      </c>
      <c r="E33" s="109" t="s">
        <v>170</v>
      </c>
      <c r="F33" s="113">
        <v>2200</v>
      </c>
      <c r="G33" s="113" t="s">
        <v>225</v>
      </c>
      <c r="H33" s="114" t="s">
        <v>226</v>
      </c>
      <c r="I33" s="115">
        <f>3500/1080</f>
        <v>3.2407407407407409</v>
      </c>
    </row>
    <row r="34" spans="2:9" ht="15" x14ac:dyDescent="0.25">
      <c r="B34" s="337"/>
      <c r="C34" s="99"/>
      <c r="D34" s="99" t="s">
        <v>227</v>
      </c>
      <c r="E34" s="117"/>
      <c r="F34" s="100">
        <v>2190</v>
      </c>
      <c r="G34" s="100" t="s">
        <v>225</v>
      </c>
      <c r="H34" s="110" t="s">
        <v>228</v>
      </c>
      <c r="I34" s="111">
        <f>3000/810</f>
        <v>3.7037037037037037</v>
      </c>
    </row>
    <row r="35" spans="2:9" ht="15" x14ac:dyDescent="0.25">
      <c r="B35" s="337"/>
      <c r="C35" s="99"/>
      <c r="D35" s="99" t="s">
        <v>229</v>
      </c>
      <c r="E35" s="117"/>
      <c r="F35" s="100">
        <v>1500</v>
      </c>
      <c r="G35" s="100" t="s">
        <v>224</v>
      </c>
      <c r="H35" s="110" t="s">
        <v>230</v>
      </c>
      <c r="I35" s="111">
        <f>4500/3193</f>
        <v>1.4093329157532102</v>
      </c>
    </row>
    <row r="36" spans="2:9" ht="15" x14ac:dyDescent="0.25">
      <c r="B36" s="337"/>
      <c r="C36" s="99"/>
      <c r="D36" s="99" t="s">
        <v>224</v>
      </c>
      <c r="E36" s="117"/>
      <c r="F36" s="100">
        <v>2250</v>
      </c>
      <c r="G36" s="100"/>
      <c r="H36" s="110"/>
      <c r="I36" s="111"/>
    </row>
    <row r="37" spans="2:9" x14ac:dyDescent="0.2">
      <c r="B37" s="337"/>
      <c r="C37" s="99"/>
      <c r="D37" s="99"/>
      <c r="E37" s="99"/>
      <c r="F37" s="100"/>
      <c r="G37" s="100"/>
      <c r="H37" s="110"/>
      <c r="I37" s="111"/>
    </row>
    <row r="38" spans="2:9" ht="15" x14ac:dyDescent="0.25">
      <c r="B38" s="337"/>
      <c r="C38" s="112" t="s">
        <v>112</v>
      </c>
      <c r="D38" s="112" t="s">
        <v>195</v>
      </c>
      <c r="E38" s="109" t="s">
        <v>170</v>
      </c>
      <c r="F38" s="113">
        <v>3500</v>
      </c>
      <c r="G38" s="112" t="s">
        <v>231</v>
      </c>
      <c r="H38" s="114" t="s">
        <v>232</v>
      </c>
      <c r="I38" s="115">
        <f>3500/5000</f>
        <v>0.7</v>
      </c>
    </row>
    <row r="39" spans="2:9" ht="15" x14ac:dyDescent="0.25">
      <c r="B39" s="337"/>
      <c r="C39" s="99"/>
      <c r="D39" s="112" t="s">
        <v>231</v>
      </c>
      <c r="E39" s="117"/>
      <c r="F39" s="100">
        <v>3500</v>
      </c>
      <c r="G39" s="99"/>
      <c r="H39" s="110"/>
      <c r="I39" s="111"/>
    </row>
    <row r="40" spans="2:9" x14ac:dyDescent="0.2">
      <c r="B40" s="337"/>
      <c r="C40" s="99"/>
      <c r="D40" s="99"/>
      <c r="E40" s="99"/>
      <c r="F40" s="100"/>
      <c r="G40" s="100"/>
      <c r="H40" s="110"/>
      <c r="I40" s="111"/>
    </row>
    <row r="41" spans="2:9" ht="15" x14ac:dyDescent="0.25">
      <c r="B41" s="337"/>
      <c r="C41" s="112" t="s">
        <v>233</v>
      </c>
      <c r="D41" s="112" t="s">
        <v>233</v>
      </c>
      <c r="E41" s="109" t="s">
        <v>170</v>
      </c>
      <c r="F41" s="113">
        <v>600</v>
      </c>
      <c r="G41" s="113"/>
      <c r="H41" s="114"/>
      <c r="I41" s="115"/>
    </row>
    <row r="42" spans="2:9" x14ac:dyDescent="0.2">
      <c r="B42" s="337"/>
      <c r="C42" s="99"/>
      <c r="D42" s="99" t="s">
        <v>233</v>
      </c>
      <c r="E42" s="99"/>
      <c r="F42" s="100">
        <v>900</v>
      </c>
      <c r="G42" s="100"/>
      <c r="H42" s="110"/>
      <c r="I42" s="111"/>
    </row>
    <row r="43" spans="2:9" x14ac:dyDescent="0.2">
      <c r="B43" s="337"/>
      <c r="C43" s="99"/>
      <c r="D43" s="99"/>
      <c r="E43" s="99"/>
      <c r="F43" s="100"/>
      <c r="G43" s="100"/>
      <c r="H43" s="110"/>
      <c r="I43" s="111"/>
    </row>
    <row r="44" spans="2:9" x14ac:dyDescent="0.2">
      <c r="B44" s="337"/>
      <c r="C44" s="112" t="s">
        <v>234</v>
      </c>
      <c r="D44" s="112"/>
      <c r="E44" s="112"/>
      <c r="F44" s="113"/>
      <c r="G44" s="113" t="s">
        <v>235</v>
      </c>
      <c r="H44" s="114" t="s">
        <v>236</v>
      </c>
      <c r="I44" s="115">
        <f>1350/304</f>
        <v>4.4407894736842106</v>
      </c>
    </row>
    <row r="45" spans="2:9" x14ac:dyDescent="0.2">
      <c r="B45" s="337"/>
      <c r="C45" s="99"/>
      <c r="D45" s="99"/>
      <c r="E45" s="99"/>
      <c r="F45" s="100"/>
      <c r="G45" s="100"/>
      <c r="H45" s="110"/>
      <c r="I45" s="111"/>
    </row>
    <row r="46" spans="2:9" x14ac:dyDescent="0.2">
      <c r="B46" s="337"/>
      <c r="C46" s="112" t="s">
        <v>237</v>
      </c>
      <c r="D46" s="112"/>
      <c r="E46" s="112"/>
      <c r="F46" s="113"/>
      <c r="G46" s="113" t="s">
        <v>238</v>
      </c>
      <c r="H46" s="114" t="s">
        <v>239</v>
      </c>
      <c r="I46" s="115">
        <f>12000/1536</f>
        <v>7.8125</v>
      </c>
    </row>
    <row r="47" spans="2:9" x14ac:dyDescent="0.2">
      <c r="B47" s="337"/>
      <c r="C47" s="99"/>
      <c r="D47" s="99"/>
      <c r="E47" s="99"/>
      <c r="F47" s="100"/>
      <c r="G47" s="100"/>
      <c r="H47" s="110"/>
      <c r="I47" s="111"/>
    </row>
    <row r="48" spans="2:9" ht="15" x14ac:dyDescent="0.25">
      <c r="B48" s="337"/>
      <c r="C48" s="112" t="s">
        <v>240</v>
      </c>
      <c r="D48" s="112" t="s">
        <v>241</v>
      </c>
      <c r="E48" s="109" t="s">
        <v>170</v>
      </c>
      <c r="F48" s="113">
        <v>2100</v>
      </c>
      <c r="G48" s="113" t="s">
        <v>242</v>
      </c>
      <c r="H48" s="114" t="s">
        <v>243</v>
      </c>
      <c r="I48" s="115">
        <f>2500/2100</f>
        <v>1.1904761904761905</v>
      </c>
    </row>
    <row r="49" spans="2:9" x14ac:dyDescent="0.2">
      <c r="B49" s="337"/>
      <c r="C49" s="99"/>
      <c r="D49" s="99" t="s">
        <v>244</v>
      </c>
      <c r="E49" s="99"/>
      <c r="F49" s="100">
        <v>1800</v>
      </c>
      <c r="G49" s="100" t="s">
        <v>195</v>
      </c>
      <c r="H49" s="110" t="s">
        <v>245</v>
      </c>
      <c r="I49" s="111">
        <f>2000/584</f>
        <v>3.4246575342465753</v>
      </c>
    </row>
    <row r="50" spans="2:9" x14ac:dyDescent="0.2">
      <c r="B50" s="337"/>
      <c r="C50" s="99"/>
      <c r="D50" s="99" t="s">
        <v>246</v>
      </c>
      <c r="E50" s="99"/>
      <c r="F50" s="100">
        <v>1900</v>
      </c>
      <c r="G50" s="100" t="s">
        <v>247</v>
      </c>
      <c r="H50" s="110" t="s">
        <v>248</v>
      </c>
      <c r="I50" s="111">
        <f>66000/10168</f>
        <v>6.4909520062942567</v>
      </c>
    </row>
    <row r="51" spans="2:9" x14ac:dyDescent="0.2">
      <c r="B51" s="337"/>
      <c r="C51" s="99"/>
      <c r="D51" s="99" t="s">
        <v>249</v>
      </c>
      <c r="E51" s="99"/>
      <c r="F51" s="100">
        <v>1800</v>
      </c>
      <c r="G51" s="116" t="s">
        <v>250</v>
      </c>
      <c r="H51" s="110" t="s">
        <v>251</v>
      </c>
      <c r="I51" s="111">
        <f>30000/33959</f>
        <v>0.88341823964192112</v>
      </c>
    </row>
    <row r="52" spans="2:9" x14ac:dyDescent="0.2">
      <c r="B52" s="337"/>
      <c r="C52" s="99"/>
      <c r="D52" s="99"/>
      <c r="E52" s="99"/>
      <c r="F52" s="100"/>
      <c r="G52" s="99" t="s">
        <v>246</v>
      </c>
      <c r="H52" s="110" t="s">
        <v>252</v>
      </c>
      <c r="I52" s="111">
        <f>45000/33000</f>
        <v>1.3636363636363635</v>
      </c>
    </row>
    <row r="53" spans="2:9" x14ac:dyDescent="0.2">
      <c r="B53" s="337"/>
      <c r="C53" s="99"/>
      <c r="D53" s="99"/>
      <c r="E53" s="99"/>
      <c r="F53" s="100"/>
      <c r="G53" s="100"/>
      <c r="H53" s="110"/>
      <c r="I53" s="111"/>
    </row>
    <row r="54" spans="2:9" ht="15" x14ac:dyDescent="0.25">
      <c r="B54" s="337"/>
      <c r="C54" s="109" t="s">
        <v>253</v>
      </c>
      <c r="D54" s="109" t="s">
        <v>254</v>
      </c>
      <c r="E54" s="109" t="s">
        <v>170</v>
      </c>
      <c r="F54" s="118">
        <v>1800</v>
      </c>
      <c r="G54" s="119"/>
      <c r="H54" s="120"/>
      <c r="I54" s="121"/>
    </row>
    <row r="55" spans="2:9" ht="15" x14ac:dyDescent="0.25">
      <c r="B55" s="337"/>
      <c r="C55" s="117"/>
      <c r="D55" s="117" t="s">
        <v>195</v>
      </c>
      <c r="E55" s="117"/>
      <c r="F55" s="103">
        <v>1800</v>
      </c>
      <c r="G55" s="122"/>
      <c r="H55" s="123"/>
      <c r="I55" s="124"/>
    </row>
    <row r="56" spans="2:9" ht="15" x14ac:dyDescent="0.25">
      <c r="B56" s="337"/>
      <c r="C56" s="117"/>
      <c r="D56" s="117" t="s">
        <v>195</v>
      </c>
      <c r="E56" s="117"/>
      <c r="F56" s="103">
        <v>1500</v>
      </c>
      <c r="G56" s="122"/>
      <c r="H56" s="123"/>
      <c r="I56" s="124"/>
    </row>
    <row r="57" spans="2:9" ht="15" x14ac:dyDescent="0.25">
      <c r="B57" s="337"/>
      <c r="C57" s="125"/>
      <c r="D57" s="126"/>
      <c r="E57" s="126"/>
      <c r="F57" s="106"/>
      <c r="G57" s="127"/>
      <c r="H57" s="128"/>
      <c r="I57" s="129"/>
    </row>
    <row r="58" spans="2:9" ht="15" x14ac:dyDescent="0.25">
      <c r="B58" s="337"/>
      <c r="C58" s="117" t="s">
        <v>255</v>
      </c>
      <c r="D58" s="117" t="s">
        <v>256</v>
      </c>
      <c r="E58" s="109" t="s">
        <v>170</v>
      </c>
      <c r="F58" s="103">
        <v>1400</v>
      </c>
      <c r="G58" s="103" t="s">
        <v>257</v>
      </c>
      <c r="H58" s="101" t="s">
        <v>258</v>
      </c>
      <c r="I58" s="102">
        <f>5000/419.5</f>
        <v>11.918951132300357</v>
      </c>
    </row>
    <row r="59" spans="2:9" ht="15" x14ac:dyDescent="0.25">
      <c r="B59" s="337"/>
      <c r="C59" s="130"/>
      <c r="D59" s="117" t="s">
        <v>259</v>
      </c>
      <c r="E59" s="117"/>
      <c r="F59" s="103">
        <v>900</v>
      </c>
      <c r="G59" s="103" t="s">
        <v>260</v>
      </c>
      <c r="H59" s="101" t="s">
        <v>261</v>
      </c>
      <c r="I59" s="102">
        <f>25000/104000</f>
        <v>0.24038461538461539</v>
      </c>
    </row>
    <row r="60" spans="2:9" ht="15" x14ac:dyDescent="0.25">
      <c r="B60" s="337"/>
      <c r="C60" s="130"/>
      <c r="D60" s="117"/>
      <c r="E60" s="117"/>
      <c r="F60" s="103"/>
      <c r="G60" s="103" t="s">
        <v>262</v>
      </c>
      <c r="H60" s="101" t="s">
        <v>263</v>
      </c>
      <c r="I60" s="102">
        <f>3000/2029.2</f>
        <v>1.4784151389710229</v>
      </c>
    </row>
    <row r="61" spans="2:9" ht="15" x14ac:dyDescent="0.25">
      <c r="B61" s="337"/>
      <c r="C61" s="125"/>
      <c r="D61" s="126"/>
      <c r="E61" s="126"/>
      <c r="F61" s="106"/>
      <c r="G61" s="106"/>
      <c r="H61" s="107"/>
      <c r="I61" s="108"/>
    </row>
    <row r="62" spans="2:9" ht="15" x14ac:dyDescent="0.25">
      <c r="B62" s="337"/>
      <c r="C62" s="117" t="s">
        <v>264</v>
      </c>
      <c r="D62" s="117" t="s">
        <v>265</v>
      </c>
      <c r="E62" s="109" t="s">
        <v>170</v>
      </c>
      <c r="F62" s="103">
        <v>1500</v>
      </c>
      <c r="G62" s="103" t="s">
        <v>266</v>
      </c>
      <c r="H62" s="101" t="s">
        <v>267</v>
      </c>
      <c r="I62" s="102">
        <f>5500/1178</f>
        <v>4.6689303904923598</v>
      </c>
    </row>
    <row r="63" spans="2:9" ht="15" x14ac:dyDescent="0.25">
      <c r="B63" s="337"/>
      <c r="C63" s="130"/>
      <c r="D63" s="117"/>
      <c r="E63" s="117"/>
      <c r="F63" s="103"/>
      <c r="G63" s="103" t="s">
        <v>268</v>
      </c>
      <c r="H63" s="101" t="s">
        <v>269</v>
      </c>
      <c r="I63" s="102">
        <f>2000/722</f>
        <v>2.770083102493075</v>
      </c>
    </row>
    <row r="64" spans="2:9" ht="15" x14ac:dyDescent="0.25">
      <c r="B64" s="337"/>
      <c r="C64" s="130"/>
      <c r="D64" s="117"/>
      <c r="E64" s="117"/>
      <c r="F64" s="103"/>
      <c r="G64" s="103"/>
      <c r="H64" s="101"/>
      <c r="I64" s="102"/>
    </row>
    <row r="65" spans="2:9" x14ac:dyDescent="0.2">
      <c r="B65" s="337"/>
      <c r="C65" s="112" t="s">
        <v>270</v>
      </c>
      <c r="D65" s="131" t="s">
        <v>271</v>
      </c>
      <c r="E65" s="112" t="s">
        <v>170</v>
      </c>
      <c r="F65" s="113">
        <v>3800</v>
      </c>
      <c r="G65" s="113" t="s">
        <v>272</v>
      </c>
      <c r="H65" s="114" t="s">
        <v>273</v>
      </c>
      <c r="I65" s="115">
        <f>2000/373</f>
        <v>5.3619302949061662</v>
      </c>
    </row>
    <row r="66" spans="2:9" x14ac:dyDescent="0.2">
      <c r="B66" s="337"/>
      <c r="C66" s="99"/>
      <c r="D66" s="132" t="s">
        <v>274</v>
      </c>
      <c r="E66" s="99"/>
      <c r="F66" s="100">
        <v>5000</v>
      </c>
      <c r="G66" s="100" t="s">
        <v>275</v>
      </c>
      <c r="H66" s="110" t="s">
        <v>210</v>
      </c>
      <c r="I66" s="111">
        <f>6900/1200</f>
        <v>5.75</v>
      </c>
    </row>
    <row r="67" spans="2:9" x14ac:dyDescent="0.2">
      <c r="B67" s="337"/>
      <c r="C67" s="99"/>
      <c r="D67" s="132" t="s">
        <v>276</v>
      </c>
      <c r="E67" s="99"/>
      <c r="F67" s="100">
        <v>1500</v>
      </c>
      <c r="G67" s="100"/>
      <c r="H67" s="110"/>
      <c r="I67" s="111"/>
    </row>
    <row r="68" spans="2:9" x14ac:dyDescent="0.2">
      <c r="B68" s="337"/>
      <c r="C68" s="104"/>
      <c r="D68" s="133"/>
      <c r="E68" s="104"/>
      <c r="F68" s="105"/>
      <c r="G68" s="105"/>
      <c r="H68" s="134"/>
      <c r="I68" s="135"/>
    </row>
    <row r="69" spans="2:9" ht="15" x14ac:dyDescent="0.25">
      <c r="B69" s="337"/>
      <c r="C69" s="117" t="s">
        <v>277</v>
      </c>
      <c r="D69" s="136" t="s">
        <v>278</v>
      </c>
      <c r="E69" s="117" t="s">
        <v>170</v>
      </c>
      <c r="F69" s="103">
        <v>2500</v>
      </c>
      <c r="G69" s="136" t="s">
        <v>279</v>
      </c>
      <c r="H69" s="101" t="s">
        <v>280</v>
      </c>
      <c r="I69" s="102">
        <f>3080/8000</f>
        <v>0.38500000000000001</v>
      </c>
    </row>
    <row r="70" spans="2:9" ht="15" x14ac:dyDescent="0.25">
      <c r="B70" s="337"/>
      <c r="C70" s="99"/>
      <c r="D70" s="136" t="s">
        <v>279</v>
      </c>
      <c r="E70" s="117"/>
      <c r="F70" s="103">
        <v>3000</v>
      </c>
      <c r="G70" s="103"/>
      <c r="H70" s="101"/>
      <c r="I70" s="102"/>
    </row>
    <row r="71" spans="2:9" ht="15" x14ac:dyDescent="0.25">
      <c r="B71" s="337"/>
      <c r="C71" s="104"/>
      <c r="D71" s="137"/>
      <c r="E71" s="126"/>
      <c r="F71" s="106"/>
      <c r="G71" s="106"/>
      <c r="H71" s="107"/>
      <c r="I71" s="108"/>
    </row>
    <row r="72" spans="2:9" ht="15" x14ac:dyDescent="0.25">
      <c r="B72" s="337"/>
      <c r="C72" s="99" t="s">
        <v>114</v>
      </c>
      <c r="D72" s="136" t="s">
        <v>231</v>
      </c>
      <c r="E72" s="109" t="s">
        <v>170</v>
      </c>
      <c r="F72" s="103">
        <v>1200</v>
      </c>
      <c r="G72" s="103" t="s">
        <v>281</v>
      </c>
      <c r="H72" s="101" t="s">
        <v>282</v>
      </c>
      <c r="I72" s="102">
        <f>1480/480</f>
        <v>3.0833333333333335</v>
      </c>
    </row>
    <row r="73" spans="2:9" ht="15" x14ac:dyDescent="0.25">
      <c r="B73" s="337"/>
      <c r="C73" s="99"/>
      <c r="D73" s="136" t="s">
        <v>283</v>
      </c>
      <c r="E73" s="117"/>
      <c r="F73" s="103">
        <v>1450</v>
      </c>
      <c r="G73" s="103" t="s">
        <v>281</v>
      </c>
      <c r="H73" s="101" t="s">
        <v>203</v>
      </c>
      <c r="I73" s="102">
        <f>1250/600</f>
        <v>2.0833333333333335</v>
      </c>
    </row>
    <row r="74" spans="2:9" ht="15" x14ac:dyDescent="0.25">
      <c r="B74" s="337"/>
      <c r="C74" s="99"/>
      <c r="D74" s="136" t="s">
        <v>284</v>
      </c>
      <c r="E74" s="117"/>
      <c r="F74" s="103">
        <v>1500</v>
      </c>
      <c r="G74" s="103" t="s">
        <v>281</v>
      </c>
      <c r="H74" s="101" t="s">
        <v>203</v>
      </c>
      <c r="I74" s="102">
        <f>2000/600</f>
        <v>3.3333333333333335</v>
      </c>
    </row>
    <row r="75" spans="2:9" ht="15" x14ac:dyDescent="0.25">
      <c r="B75" s="337"/>
      <c r="C75" s="99"/>
      <c r="D75" s="136"/>
      <c r="E75" s="117"/>
      <c r="F75" s="103"/>
      <c r="G75" s="103"/>
      <c r="H75" s="101"/>
      <c r="I75" s="102"/>
    </row>
    <row r="76" spans="2:9" ht="15.75" thickBot="1" x14ac:dyDescent="0.3">
      <c r="B76" s="337"/>
      <c r="C76" s="99"/>
      <c r="D76" s="136"/>
      <c r="E76" s="117"/>
      <c r="F76" s="103"/>
      <c r="G76" s="103"/>
      <c r="H76" s="101"/>
      <c r="I76" s="102"/>
    </row>
    <row r="77" spans="2:9" ht="15.75" thickBot="1" x14ac:dyDescent="0.3">
      <c r="B77" s="138"/>
      <c r="C77" s="319" t="s">
        <v>116</v>
      </c>
      <c r="D77" s="319"/>
      <c r="E77" s="319"/>
      <c r="F77" s="139">
        <f>AVERAGE(F4:F76)</f>
        <v>2120.6382978723404</v>
      </c>
      <c r="G77" s="140"/>
      <c r="H77" s="141"/>
      <c r="I77" s="142">
        <f>AVERAGE(I4:I76)</f>
        <v>3.2234463877980031</v>
      </c>
    </row>
    <row r="78" spans="2:9" ht="15.75" thickBot="1" x14ac:dyDescent="0.3">
      <c r="B78" s="143"/>
      <c r="C78" s="144"/>
      <c r="D78" s="144" t="s">
        <v>285</v>
      </c>
      <c r="E78" s="144"/>
      <c r="F78" s="145">
        <f>FLOOR(F77/H213,0.01)</f>
        <v>2112.39</v>
      </c>
      <c r="G78" s="146"/>
      <c r="H78" s="147"/>
      <c r="I78" s="148">
        <f>FLOOR(I77/H213,0.01)</f>
        <v>3.21</v>
      </c>
    </row>
    <row r="79" spans="2:9" x14ac:dyDescent="0.2">
      <c r="B79" s="320" t="s">
        <v>286</v>
      </c>
      <c r="C79" s="149" t="s">
        <v>117</v>
      </c>
      <c r="D79" s="150" t="s">
        <v>287</v>
      </c>
      <c r="E79" s="149" t="s">
        <v>170</v>
      </c>
      <c r="F79" s="151">
        <v>1800</v>
      </c>
      <c r="G79" s="151" t="s">
        <v>288</v>
      </c>
      <c r="H79" s="152" t="s">
        <v>289</v>
      </c>
      <c r="I79" s="153">
        <f>600/300</f>
        <v>2</v>
      </c>
    </row>
    <row r="80" spans="2:9" x14ac:dyDescent="0.2">
      <c r="B80" s="320"/>
      <c r="C80" s="149"/>
      <c r="D80" s="150" t="s">
        <v>290</v>
      </c>
      <c r="E80" s="149"/>
      <c r="F80" s="271">
        <v>1800</v>
      </c>
      <c r="G80" s="151" t="s">
        <v>291</v>
      </c>
      <c r="H80" s="152" t="s">
        <v>292</v>
      </c>
      <c r="I80" s="153">
        <f>1500/350</f>
        <v>4.2857142857142856</v>
      </c>
    </row>
    <row r="81" spans="2:9" x14ac:dyDescent="0.2">
      <c r="B81" s="320"/>
      <c r="C81" s="149"/>
      <c r="D81" s="150" t="s">
        <v>293</v>
      </c>
      <c r="E81" s="149"/>
      <c r="F81" s="271">
        <v>1500</v>
      </c>
      <c r="G81" s="151" t="s">
        <v>294</v>
      </c>
      <c r="H81" s="152" t="s">
        <v>295</v>
      </c>
      <c r="I81" s="153">
        <f>3000/510</f>
        <v>5.882352941176471</v>
      </c>
    </row>
    <row r="82" spans="2:9" x14ac:dyDescent="0.2">
      <c r="B82" s="320"/>
      <c r="C82" s="149"/>
      <c r="D82" s="150"/>
      <c r="E82" s="149"/>
      <c r="F82" s="271"/>
      <c r="G82" s="151" t="s">
        <v>297</v>
      </c>
      <c r="H82" s="152" t="s">
        <v>298</v>
      </c>
      <c r="I82" s="153">
        <f>5000/600</f>
        <v>8.3333333333333339</v>
      </c>
    </row>
    <row r="83" spans="2:9" x14ac:dyDescent="0.2">
      <c r="B83" s="320"/>
      <c r="C83" s="154"/>
      <c r="D83" s="154" t="s">
        <v>296</v>
      </c>
      <c r="E83" s="154"/>
      <c r="F83" s="272">
        <v>1500</v>
      </c>
      <c r="G83" s="273" t="s">
        <v>288</v>
      </c>
      <c r="H83" s="274" t="s">
        <v>302</v>
      </c>
      <c r="I83" s="157">
        <f>2000/1000</f>
        <v>2</v>
      </c>
    </row>
    <row r="84" spans="2:9" x14ac:dyDescent="0.2">
      <c r="B84" s="320"/>
      <c r="C84" s="149" t="s">
        <v>299</v>
      </c>
      <c r="D84" s="150" t="s">
        <v>300</v>
      </c>
      <c r="E84" s="149" t="s">
        <v>170</v>
      </c>
      <c r="F84" s="151">
        <v>1200</v>
      </c>
      <c r="G84" s="151" t="s">
        <v>301</v>
      </c>
      <c r="H84" s="152" t="s">
        <v>302</v>
      </c>
      <c r="I84" s="153">
        <f>1500/1000</f>
        <v>1.5</v>
      </c>
    </row>
    <row r="85" spans="2:9" x14ac:dyDescent="0.2">
      <c r="B85" s="320"/>
      <c r="C85" s="149"/>
      <c r="D85" s="150" t="s">
        <v>303</v>
      </c>
      <c r="E85" s="149"/>
      <c r="F85" s="151">
        <v>1600</v>
      </c>
      <c r="G85" s="151" t="s">
        <v>304</v>
      </c>
      <c r="H85" s="152" t="s">
        <v>305</v>
      </c>
      <c r="I85" s="153">
        <f>7500/1344</f>
        <v>5.5803571428571432</v>
      </c>
    </row>
    <row r="86" spans="2:9" x14ac:dyDescent="0.2">
      <c r="B86" s="320"/>
      <c r="C86" s="149"/>
      <c r="D86" s="150" t="s">
        <v>306</v>
      </c>
      <c r="E86" s="149"/>
      <c r="F86" s="151">
        <v>1300</v>
      </c>
      <c r="G86" s="151" t="s">
        <v>307</v>
      </c>
      <c r="H86" s="152" t="s">
        <v>308</v>
      </c>
      <c r="I86" s="153">
        <f>2500/3000</f>
        <v>0.83333333333333337</v>
      </c>
    </row>
    <row r="87" spans="2:9" x14ac:dyDescent="0.2">
      <c r="B87" s="320"/>
      <c r="C87" s="149"/>
      <c r="D87" s="150" t="s">
        <v>304</v>
      </c>
      <c r="E87" s="149"/>
      <c r="F87" s="151">
        <v>1300</v>
      </c>
      <c r="G87" s="151" t="s">
        <v>309</v>
      </c>
      <c r="H87" s="152" t="s">
        <v>310</v>
      </c>
      <c r="I87" s="153">
        <f>1000/900</f>
        <v>1.1111111111111112</v>
      </c>
    </row>
    <row r="88" spans="2:9" x14ac:dyDescent="0.2">
      <c r="B88" s="320"/>
      <c r="C88" s="149"/>
      <c r="D88" s="150" t="s">
        <v>301</v>
      </c>
      <c r="E88" s="149"/>
      <c r="F88" s="151">
        <v>1400</v>
      </c>
      <c r="G88" s="151" t="s">
        <v>303</v>
      </c>
      <c r="H88" s="152" t="s">
        <v>311</v>
      </c>
      <c r="I88" s="153">
        <f>1200/1287</f>
        <v>0.93240093240093236</v>
      </c>
    </row>
    <row r="89" spans="2:9" x14ac:dyDescent="0.2">
      <c r="B89" s="320"/>
      <c r="C89" s="149"/>
      <c r="D89" s="150" t="s">
        <v>312</v>
      </c>
      <c r="E89" s="149"/>
      <c r="F89" s="151">
        <v>1650</v>
      </c>
      <c r="G89" s="151"/>
      <c r="H89" s="152"/>
      <c r="I89" s="153"/>
    </row>
    <row r="90" spans="2:9" x14ac:dyDescent="0.2">
      <c r="B90" s="320"/>
      <c r="C90" s="149"/>
      <c r="D90" s="150"/>
      <c r="E90" s="149"/>
      <c r="F90" s="151"/>
      <c r="G90" s="151"/>
      <c r="H90" s="152"/>
      <c r="I90" s="153"/>
    </row>
    <row r="91" spans="2:9" x14ac:dyDescent="0.2">
      <c r="B91" s="320"/>
      <c r="C91" s="149"/>
      <c r="D91" s="150"/>
      <c r="E91" s="149"/>
      <c r="F91" s="151"/>
      <c r="G91" s="151"/>
      <c r="H91" s="152"/>
      <c r="I91" s="153"/>
    </row>
    <row r="92" spans="2:9" x14ac:dyDescent="0.2">
      <c r="B92" s="320"/>
      <c r="C92" s="158" t="s">
        <v>313</v>
      </c>
      <c r="D92" s="159" t="s">
        <v>314</v>
      </c>
      <c r="E92" s="158" t="s">
        <v>170</v>
      </c>
      <c r="F92" s="160">
        <v>1100</v>
      </c>
      <c r="G92" s="160" t="s">
        <v>315</v>
      </c>
      <c r="H92" s="161" t="s">
        <v>316</v>
      </c>
      <c r="I92" s="162">
        <f>5500/580</f>
        <v>9.4827586206896548</v>
      </c>
    </row>
    <row r="93" spans="2:9" x14ac:dyDescent="0.2">
      <c r="B93" s="320"/>
      <c r="C93" s="149"/>
      <c r="D93" s="150" t="s">
        <v>317</v>
      </c>
      <c r="E93" s="149"/>
      <c r="F93" s="151">
        <v>1350</v>
      </c>
      <c r="G93" s="151"/>
      <c r="H93" s="152"/>
      <c r="I93" s="153"/>
    </row>
    <row r="94" spans="2:9" x14ac:dyDescent="0.2">
      <c r="B94" s="320"/>
      <c r="C94" s="154"/>
      <c r="D94" s="163" t="s">
        <v>318</v>
      </c>
      <c r="E94" s="154"/>
      <c r="F94" s="155">
        <v>3000</v>
      </c>
      <c r="G94" s="155"/>
      <c r="H94" s="156"/>
      <c r="I94" s="157"/>
    </row>
    <row r="95" spans="2:9" x14ac:dyDescent="0.2">
      <c r="B95" s="320"/>
      <c r="C95" s="149" t="s">
        <v>505</v>
      </c>
      <c r="D95" s="150" t="s">
        <v>506</v>
      </c>
      <c r="E95" s="158" t="s">
        <v>170</v>
      </c>
      <c r="F95" s="151">
        <v>2500</v>
      </c>
      <c r="G95" s="151"/>
      <c r="H95" s="152"/>
      <c r="I95" s="153"/>
    </row>
    <row r="96" spans="2:9" x14ac:dyDescent="0.2">
      <c r="B96" s="320"/>
      <c r="C96" s="149"/>
      <c r="D96" s="150" t="s">
        <v>507</v>
      </c>
      <c r="E96" s="149"/>
      <c r="F96" s="151">
        <v>3500</v>
      </c>
      <c r="G96" s="151"/>
      <c r="H96" s="152"/>
      <c r="I96" s="153"/>
    </row>
    <row r="97" spans="2:9" x14ac:dyDescent="0.2">
      <c r="B97" s="320"/>
      <c r="C97" s="149"/>
      <c r="D97" s="150"/>
      <c r="E97" s="149"/>
      <c r="F97" s="151"/>
      <c r="G97" s="151"/>
      <c r="H97" s="152"/>
      <c r="I97" s="153"/>
    </row>
    <row r="98" spans="2:9" x14ac:dyDescent="0.2">
      <c r="B98" s="320"/>
      <c r="C98" s="149"/>
      <c r="D98" s="150"/>
      <c r="E98" s="149"/>
      <c r="F98" s="151"/>
      <c r="G98" s="151"/>
      <c r="H98" s="152"/>
      <c r="I98" s="153"/>
    </row>
    <row r="99" spans="2:9" x14ac:dyDescent="0.2">
      <c r="B99" s="320"/>
      <c r="C99" s="158" t="s">
        <v>502</v>
      </c>
      <c r="D99" s="159"/>
      <c r="E99" s="158" t="s">
        <v>170</v>
      </c>
      <c r="F99" s="160">
        <v>400</v>
      </c>
      <c r="G99" s="160"/>
      <c r="H99" s="161"/>
      <c r="I99" s="162"/>
    </row>
    <row r="100" spans="2:9" x14ac:dyDescent="0.2">
      <c r="B100" s="320"/>
      <c r="C100" s="149"/>
      <c r="D100" s="150" t="s">
        <v>503</v>
      </c>
      <c r="E100" s="149"/>
      <c r="F100" s="151">
        <v>400</v>
      </c>
      <c r="G100" s="151"/>
      <c r="H100" s="152"/>
      <c r="I100" s="153"/>
    </row>
    <row r="101" spans="2:9" x14ac:dyDescent="0.2">
      <c r="B101" s="320"/>
      <c r="C101" s="149"/>
      <c r="D101" s="150"/>
      <c r="E101" s="149" t="s">
        <v>504</v>
      </c>
      <c r="F101" s="151">
        <v>580</v>
      </c>
      <c r="G101" s="151"/>
      <c r="H101" s="152"/>
      <c r="I101" s="153"/>
    </row>
    <row r="102" spans="2:9" x14ac:dyDescent="0.2">
      <c r="B102" s="320"/>
      <c r="C102" s="149"/>
      <c r="D102" s="150"/>
      <c r="E102" s="149"/>
      <c r="F102" s="151"/>
      <c r="G102" s="151"/>
      <c r="H102" s="152"/>
      <c r="I102" s="153"/>
    </row>
    <row r="103" spans="2:9" x14ac:dyDescent="0.2">
      <c r="B103" s="320"/>
      <c r="C103" s="158" t="s">
        <v>319</v>
      </c>
      <c r="D103" s="159" t="s">
        <v>315</v>
      </c>
      <c r="E103" s="158" t="s">
        <v>170</v>
      </c>
      <c r="F103" s="160">
        <v>1500</v>
      </c>
      <c r="G103" s="160" t="s">
        <v>320</v>
      </c>
      <c r="H103" s="161" t="s">
        <v>321</v>
      </c>
      <c r="I103" s="162">
        <f>12000/3315</f>
        <v>3.6199095022624435</v>
      </c>
    </row>
    <row r="104" spans="2:9" x14ac:dyDescent="0.2">
      <c r="B104" s="320"/>
      <c r="C104" s="149"/>
      <c r="D104" s="150" t="s">
        <v>322</v>
      </c>
      <c r="E104" s="149"/>
      <c r="F104" s="151">
        <v>2000</v>
      </c>
      <c r="G104" s="151"/>
      <c r="H104" s="152"/>
      <c r="I104" s="153"/>
    </row>
    <row r="105" spans="2:9" ht="13.5" thickBot="1" x14ac:dyDescent="0.25">
      <c r="B105" s="321"/>
      <c r="C105" s="164"/>
      <c r="D105" s="164" t="s">
        <v>315</v>
      </c>
      <c r="E105" s="164"/>
      <c r="F105" s="165">
        <v>2500</v>
      </c>
      <c r="G105" s="165"/>
      <c r="H105" s="166"/>
      <c r="I105" s="167"/>
    </row>
    <row r="106" spans="2:9" ht="15.75" thickBot="1" x14ac:dyDescent="0.3">
      <c r="B106" s="168"/>
      <c r="C106" s="327" t="s">
        <v>116</v>
      </c>
      <c r="D106" s="327"/>
      <c r="E106" s="327"/>
      <c r="F106" s="169">
        <f>AVERAGE(F79:F105)</f>
        <v>1613.3333333333333</v>
      </c>
      <c r="G106" s="170"/>
      <c r="H106" s="171"/>
      <c r="I106" s="172">
        <f>AVERAGE(I79:I105)</f>
        <v>3.7967726002398927</v>
      </c>
    </row>
    <row r="107" spans="2:9" ht="15.75" thickBot="1" x14ac:dyDescent="0.3">
      <c r="B107" s="143"/>
      <c r="C107" s="144"/>
      <c r="D107" s="144" t="s">
        <v>285</v>
      </c>
      <c r="E107" s="144"/>
      <c r="F107" s="145">
        <f>FLOOR(F106/H213,0.01)</f>
        <v>1607.06</v>
      </c>
      <c r="G107" s="146"/>
      <c r="H107" s="147"/>
      <c r="I107" s="148">
        <f>FLOOR(I106/H213,0.01)</f>
        <v>3.7800000000000002</v>
      </c>
    </row>
    <row r="108" spans="2:9" x14ac:dyDescent="0.2">
      <c r="B108" s="322" t="s">
        <v>323</v>
      </c>
      <c r="C108" s="173" t="s">
        <v>324</v>
      </c>
      <c r="D108" s="174" t="s">
        <v>325</v>
      </c>
      <c r="E108" s="173" t="s">
        <v>170</v>
      </c>
      <c r="F108" s="175">
        <v>1600</v>
      </c>
      <c r="G108" s="175" t="s">
        <v>326</v>
      </c>
      <c r="H108" s="176" t="s">
        <v>327</v>
      </c>
      <c r="I108" s="177">
        <f>3150/2100</f>
        <v>1.5</v>
      </c>
    </row>
    <row r="109" spans="2:9" ht="15" x14ac:dyDescent="0.25">
      <c r="B109" s="320"/>
      <c r="C109" s="130"/>
      <c r="D109" s="150" t="s">
        <v>328</v>
      </c>
      <c r="E109" s="149"/>
      <c r="F109" s="151">
        <v>2200</v>
      </c>
      <c r="G109" s="151" t="s">
        <v>329</v>
      </c>
      <c r="H109" s="152" t="s">
        <v>330</v>
      </c>
      <c r="I109" s="153">
        <f>1700/500</f>
        <v>3.4</v>
      </c>
    </row>
    <row r="110" spans="2:9" ht="15" x14ac:dyDescent="0.25">
      <c r="B110" s="320"/>
      <c r="C110" s="130"/>
      <c r="D110" s="150" t="s">
        <v>331</v>
      </c>
      <c r="E110" s="149"/>
      <c r="F110" s="151">
        <v>2000</v>
      </c>
      <c r="G110" s="151" t="s">
        <v>317</v>
      </c>
      <c r="H110" s="152" t="s">
        <v>332</v>
      </c>
      <c r="I110" s="153">
        <f>2000/793</f>
        <v>2.5220680958385877</v>
      </c>
    </row>
    <row r="111" spans="2:9" ht="15" x14ac:dyDescent="0.25">
      <c r="B111" s="320"/>
      <c r="C111" s="130"/>
      <c r="D111" s="150" t="s">
        <v>333</v>
      </c>
      <c r="E111" s="149"/>
      <c r="F111" s="151">
        <v>1900</v>
      </c>
      <c r="G111" s="151" t="s">
        <v>334</v>
      </c>
      <c r="H111" s="152" t="s">
        <v>335</v>
      </c>
      <c r="I111" s="153">
        <f>700/549</f>
        <v>1.2750455373406193</v>
      </c>
    </row>
    <row r="112" spans="2:9" ht="15" x14ac:dyDescent="0.25">
      <c r="B112" s="320"/>
      <c r="C112" s="130"/>
      <c r="D112" s="150" t="s">
        <v>315</v>
      </c>
      <c r="E112" s="149"/>
      <c r="F112" s="151">
        <v>1850</v>
      </c>
      <c r="G112" s="151" t="s">
        <v>336</v>
      </c>
      <c r="H112" s="152" t="s">
        <v>337</v>
      </c>
      <c r="I112" s="153">
        <f>2000/541</f>
        <v>3.6968576709796674</v>
      </c>
    </row>
    <row r="113" spans="2:9" ht="15" x14ac:dyDescent="0.25">
      <c r="B113" s="320"/>
      <c r="C113" s="130"/>
      <c r="D113" s="150" t="s">
        <v>338</v>
      </c>
      <c r="E113" s="149"/>
      <c r="F113" s="151">
        <v>1600</v>
      </c>
      <c r="G113" s="151" t="s">
        <v>339</v>
      </c>
      <c r="H113" s="152" t="s">
        <v>340</v>
      </c>
      <c r="I113" s="153">
        <f>1000/400</f>
        <v>2.5</v>
      </c>
    </row>
    <row r="114" spans="2:9" ht="15" x14ac:dyDescent="0.25">
      <c r="B114" s="320"/>
      <c r="C114" s="158" t="s">
        <v>341</v>
      </c>
      <c r="D114" s="158" t="s">
        <v>342</v>
      </c>
      <c r="E114" s="158" t="s">
        <v>170</v>
      </c>
      <c r="F114" s="160">
        <v>1000</v>
      </c>
      <c r="G114" s="119"/>
      <c r="H114" s="178"/>
      <c r="I114" s="179"/>
    </row>
    <row r="115" spans="2:9" ht="15" x14ac:dyDescent="0.25">
      <c r="B115" s="320"/>
      <c r="C115" s="149"/>
      <c r="D115" s="150" t="s">
        <v>343</v>
      </c>
      <c r="E115" s="149"/>
      <c r="F115" s="151">
        <v>850</v>
      </c>
      <c r="G115" s="122"/>
      <c r="H115" s="123"/>
      <c r="I115" s="124"/>
    </row>
    <row r="116" spans="2:9" ht="15" x14ac:dyDescent="0.25">
      <c r="B116" s="320"/>
      <c r="C116" s="149"/>
      <c r="D116" s="150" t="s">
        <v>315</v>
      </c>
      <c r="E116" s="149"/>
      <c r="F116" s="151">
        <v>2800</v>
      </c>
      <c r="G116" s="122"/>
      <c r="H116" s="123"/>
      <c r="I116" s="124"/>
    </row>
    <row r="117" spans="2:9" ht="15" x14ac:dyDescent="0.25">
      <c r="B117" s="320"/>
      <c r="C117" s="158" t="s">
        <v>344</v>
      </c>
      <c r="D117" s="158" t="s">
        <v>315</v>
      </c>
      <c r="E117" s="158" t="s">
        <v>170</v>
      </c>
      <c r="F117" s="160">
        <v>1650</v>
      </c>
      <c r="G117" s="119"/>
      <c r="H117" s="178"/>
      <c r="I117" s="179"/>
    </row>
    <row r="118" spans="2:9" ht="15" x14ac:dyDescent="0.25">
      <c r="B118" s="320"/>
      <c r="C118" s="130"/>
      <c r="D118" s="150" t="s">
        <v>345</v>
      </c>
      <c r="E118" s="149"/>
      <c r="F118" s="151">
        <v>1100</v>
      </c>
      <c r="G118" s="122"/>
      <c r="H118" s="123"/>
      <c r="I118" s="124"/>
    </row>
    <row r="119" spans="2:9" ht="15" x14ac:dyDescent="0.25">
      <c r="B119" s="320"/>
      <c r="C119" s="130"/>
      <c r="D119" s="150" t="s">
        <v>345</v>
      </c>
      <c r="E119" s="149"/>
      <c r="F119" s="151">
        <v>2000</v>
      </c>
      <c r="G119" s="122"/>
      <c r="H119" s="123"/>
      <c r="I119" s="124"/>
    </row>
    <row r="120" spans="2:9" ht="15" x14ac:dyDescent="0.25">
      <c r="B120" s="320"/>
      <c r="C120" s="158" t="s">
        <v>346</v>
      </c>
      <c r="D120" s="158" t="s">
        <v>315</v>
      </c>
      <c r="E120" s="158" t="s">
        <v>170</v>
      </c>
      <c r="F120" s="160">
        <v>1650</v>
      </c>
      <c r="G120" s="119"/>
      <c r="H120" s="178"/>
      <c r="I120" s="179"/>
    </row>
    <row r="121" spans="2:9" ht="15" x14ac:dyDescent="0.25">
      <c r="B121" s="320"/>
      <c r="C121" s="130"/>
      <c r="D121" s="149" t="s">
        <v>347</v>
      </c>
      <c r="E121" s="149"/>
      <c r="F121" s="151">
        <v>500</v>
      </c>
      <c r="G121" s="122"/>
      <c r="H121" s="123"/>
      <c r="I121" s="124"/>
    </row>
    <row r="122" spans="2:9" ht="15" x14ac:dyDescent="0.25">
      <c r="B122" s="320"/>
      <c r="C122" s="130"/>
      <c r="D122" s="149" t="s">
        <v>348</v>
      </c>
      <c r="E122" s="149"/>
      <c r="F122" s="151">
        <v>4300</v>
      </c>
      <c r="G122" s="122"/>
      <c r="H122" s="123"/>
      <c r="I122" s="124"/>
    </row>
    <row r="123" spans="2:9" ht="15" x14ac:dyDescent="0.25">
      <c r="B123" s="320"/>
      <c r="C123" s="158" t="s">
        <v>349</v>
      </c>
      <c r="D123" s="158" t="s">
        <v>350</v>
      </c>
      <c r="E123" s="158" t="s">
        <v>170</v>
      </c>
      <c r="F123" s="160">
        <v>805</v>
      </c>
      <c r="G123" s="119"/>
      <c r="H123" s="178"/>
      <c r="I123" s="180"/>
    </row>
    <row r="124" spans="2:9" ht="15" x14ac:dyDescent="0.25">
      <c r="B124" s="320"/>
      <c r="C124" s="149"/>
      <c r="D124" s="149" t="s">
        <v>351</v>
      </c>
      <c r="E124" s="149"/>
      <c r="F124" s="151">
        <v>1210</v>
      </c>
      <c r="G124" s="122"/>
      <c r="H124" s="123"/>
      <c r="I124" s="181"/>
    </row>
    <row r="125" spans="2:9" ht="15" x14ac:dyDescent="0.25">
      <c r="B125" s="320"/>
      <c r="C125" s="149"/>
      <c r="D125" s="149" t="s">
        <v>352</v>
      </c>
      <c r="E125" s="149"/>
      <c r="F125" s="151">
        <v>1500</v>
      </c>
      <c r="G125" s="122"/>
      <c r="H125" s="123"/>
      <c r="I125" s="181"/>
    </row>
    <row r="126" spans="2:9" ht="15" x14ac:dyDescent="0.25">
      <c r="B126" s="320"/>
      <c r="C126" s="149"/>
      <c r="D126" s="149"/>
      <c r="E126" s="149"/>
      <c r="F126" s="151"/>
      <c r="G126" s="122"/>
      <c r="H126" s="123"/>
      <c r="I126" s="181"/>
    </row>
    <row r="127" spans="2:9" ht="15" x14ac:dyDescent="0.25">
      <c r="B127" s="320"/>
      <c r="C127" s="158" t="s">
        <v>353</v>
      </c>
      <c r="D127" s="159" t="s">
        <v>354</v>
      </c>
      <c r="E127" s="158" t="s">
        <v>170</v>
      </c>
      <c r="F127" s="160">
        <v>950</v>
      </c>
      <c r="G127" s="119"/>
      <c r="H127" s="178"/>
      <c r="I127" s="180"/>
    </row>
    <row r="128" spans="2:9" ht="15" x14ac:dyDescent="0.25">
      <c r="B128" s="320"/>
      <c r="C128" s="130"/>
      <c r="D128" s="150" t="s">
        <v>355</v>
      </c>
      <c r="E128" s="149"/>
      <c r="F128" s="151">
        <v>1250</v>
      </c>
      <c r="G128" s="122"/>
      <c r="H128" s="123"/>
      <c r="I128" s="181"/>
    </row>
    <row r="129" spans="2:9" ht="15" x14ac:dyDescent="0.25">
      <c r="B129" s="320"/>
      <c r="C129" s="130"/>
      <c r="D129" s="150" t="s">
        <v>356</v>
      </c>
      <c r="E129" s="149"/>
      <c r="F129" s="151">
        <v>1150</v>
      </c>
      <c r="G129" s="122"/>
      <c r="H129" s="123"/>
      <c r="I129" s="181"/>
    </row>
    <row r="130" spans="2:9" ht="15" x14ac:dyDescent="0.25">
      <c r="B130" s="320"/>
      <c r="C130" s="125"/>
      <c r="D130" s="163" t="s">
        <v>357</v>
      </c>
      <c r="E130" s="154"/>
      <c r="F130" s="155">
        <v>850</v>
      </c>
      <c r="G130" s="127"/>
      <c r="H130" s="128"/>
      <c r="I130" s="182"/>
    </row>
    <row r="131" spans="2:9" x14ac:dyDescent="0.2">
      <c r="B131" s="320"/>
      <c r="C131" s="158" t="s">
        <v>475</v>
      </c>
      <c r="D131" s="150"/>
      <c r="E131" s="149"/>
      <c r="F131" s="151"/>
      <c r="G131" s="160" t="s">
        <v>476</v>
      </c>
      <c r="H131" s="220" t="s">
        <v>289</v>
      </c>
      <c r="I131" s="162">
        <f>450/300</f>
        <v>1.5</v>
      </c>
    </row>
    <row r="132" spans="2:9" ht="15" x14ac:dyDescent="0.25">
      <c r="B132" s="320"/>
      <c r="C132" s="130"/>
      <c r="D132" s="150"/>
      <c r="E132" s="149"/>
      <c r="F132" s="151"/>
      <c r="G132" s="221" t="s">
        <v>477</v>
      </c>
      <c r="H132" s="222" t="s">
        <v>289</v>
      </c>
      <c r="I132" s="153">
        <f>650/300</f>
        <v>2.1666666666666665</v>
      </c>
    </row>
    <row r="133" spans="2:9" ht="15" x14ac:dyDescent="0.25">
      <c r="B133" s="320"/>
      <c r="C133" s="130"/>
      <c r="D133" s="150"/>
      <c r="E133" s="149"/>
      <c r="F133" s="151"/>
      <c r="G133" s="151"/>
      <c r="H133" s="152"/>
      <c r="I133" s="153"/>
    </row>
    <row r="134" spans="2:9" x14ac:dyDescent="0.2">
      <c r="B134" s="320"/>
      <c r="C134" s="158" t="s">
        <v>358</v>
      </c>
      <c r="D134" s="159" t="s">
        <v>315</v>
      </c>
      <c r="E134" s="158" t="s">
        <v>170</v>
      </c>
      <c r="F134" s="160">
        <v>1000</v>
      </c>
      <c r="G134" s="223" t="s">
        <v>315</v>
      </c>
      <c r="H134" s="220" t="s">
        <v>478</v>
      </c>
      <c r="I134" s="162">
        <f>700/468</f>
        <v>1.4957264957264957</v>
      </c>
    </row>
    <row r="135" spans="2:9" ht="15" x14ac:dyDescent="0.25">
      <c r="B135" s="320"/>
      <c r="C135" s="130"/>
      <c r="D135" s="150" t="s">
        <v>359</v>
      </c>
      <c r="E135" s="149"/>
      <c r="F135" s="151">
        <v>850</v>
      </c>
      <c r="G135" s="122"/>
      <c r="H135" s="123"/>
      <c r="I135" s="181"/>
    </row>
    <row r="136" spans="2:9" ht="15" x14ac:dyDescent="0.25">
      <c r="B136" s="320"/>
      <c r="C136" s="130"/>
      <c r="D136" s="150" t="s">
        <v>360</v>
      </c>
      <c r="E136" s="149"/>
      <c r="F136" s="151">
        <v>1400</v>
      </c>
      <c r="G136" s="122"/>
      <c r="H136" s="123"/>
      <c r="I136" s="182"/>
    </row>
    <row r="137" spans="2:9" ht="15" x14ac:dyDescent="0.25">
      <c r="B137" s="320"/>
      <c r="C137" s="158" t="s">
        <v>361</v>
      </c>
      <c r="D137" s="158" t="s">
        <v>362</v>
      </c>
      <c r="E137" s="158" t="s">
        <v>170</v>
      </c>
      <c r="F137" s="160">
        <v>1300</v>
      </c>
      <c r="G137" s="119"/>
      <c r="H137" s="178"/>
      <c r="I137" s="180"/>
    </row>
    <row r="138" spans="2:9" ht="15" x14ac:dyDescent="0.25">
      <c r="B138" s="320"/>
      <c r="C138" s="149"/>
      <c r="D138" s="149" t="s">
        <v>363</v>
      </c>
      <c r="E138" s="149"/>
      <c r="F138" s="151">
        <v>1400</v>
      </c>
      <c r="G138" s="122"/>
      <c r="H138" s="123"/>
      <c r="I138" s="181"/>
    </row>
    <row r="139" spans="2:9" ht="15.75" thickBot="1" x14ac:dyDescent="0.3">
      <c r="B139" s="321"/>
      <c r="C139" s="164"/>
      <c r="D139" s="164" t="s">
        <v>364</v>
      </c>
      <c r="E139" s="164"/>
      <c r="F139" s="165">
        <v>1400</v>
      </c>
      <c r="G139" s="183"/>
      <c r="H139" s="184"/>
      <c r="I139" s="185"/>
    </row>
    <row r="140" spans="2:9" ht="15.75" thickBot="1" x14ac:dyDescent="0.3">
      <c r="B140" s="186"/>
      <c r="C140" s="328" t="s">
        <v>116</v>
      </c>
      <c r="D140" s="328"/>
      <c r="E140" s="328"/>
      <c r="F140" s="187">
        <f>AVERAGE(F108:F139)</f>
        <v>1502.3214285714287</v>
      </c>
      <c r="G140" s="188"/>
      <c r="H140" s="189"/>
      <c r="I140" s="190">
        <f>AVERAGE(I108:I139)</f>
        <v>2.2284849407280043</v>
      </c>
    </row>
    <row r="141" spans="2:9" ht="15.75" thickBot="1" x14ac:dyDescent="0.3">
      <c r="B141" s="143"/>
      <c r="C141" s="144"/>
      <c r="D141" s="144" t="s">
        <v>285</v>
      </c>
      <c r="E141" s="144"/>
      <c r="F141" s="145">
        <f>FLOOR(F140/H213,0.01)</f>
        <v>1496.48</v>
      </c>
      <c r="G141" s="146"/>
      <c r="H141" s="147"/>
      <c r="I141" s="148">
        <f>FLOOR(I140/H213,0.01)</f>
        <v>2.21</v>
      </c>
    </row>
    <row r="142" spans="2:9" x14ac:dyDescent="0.2">
      <c r="B142" s="322" t="s">
        <v>365</v>
      </c>
      <c r="C142" s="173" t="s">
        <v>119</v>
      </c>
      <c r="D142" s="173" t="s">
        <v>366</v>
      </c>
      <c r="E142" s="173" t="s">
        <v>170</v>
      </c>
      <c r="F142" s="175">
        <v>2700</v>
      </c>
      <c r="G142" s="175" t="s">
        <v>367</v>
      </c>
      <c r="H142" s="176" t="s">
        <v>368</v>
      </c>
      <c r="I142" s="177">
        <f>1100/360</f>
        <v>3.0555555555555554</v>
      </c>
    </row>
    <row r="143" spans="2:9" x14ac:dyDescent="0.2">
      <c r="B143" s="320"/>
      <c r="C143" s="149"/>
      <c r="D143" s="149" t="s">
        <v>369</v>
      </c>
      <c r="E143" s="149"/>
      <c r="F143" s="151">
        <v>2000</v>
      </c>
      <c r="G143" s="151" t="s">
        <v>370</v>
      </c>
      <c r="H143" s="152" t="s">
        <v>371</v>
      </c>
      <c r="I143" s="153">
        <f>500/445</f>
        <v>1.1235955056179776</v>
      </c>
    </row>
    <row r="144" spans="2:9" x14ac:dyDescent="0.2">
      <c r="B144" s="320"/>
      <c r="C144" s="149"/>
      <c r="D144" s="149" t="s">
        <v>372</v>
      </c>
      <c r="E144" s="149"/>
      <c r="F144" s="151">
        <v>3100</v>
      </c>
      <c r="G144" s="151" t="s">
        <v>373</v>
      </c>
      <c r="H144" s="152" t="s">
        <v>302</v>
      </c>
      <c r="I144" s="153">
        <f>2700/1000</f>
        <v>2.7</v>
      </c>
    </row>
    <row r="145" spans="2:9" x14ac:dyDescent="0.2">
      <c r="B145" s="320"/>
      <c r="C145" s="149"/>
      <c r="D145" s="149" t="s">
        <v>374</v>
      </c>
      <c r="E145" s="149"/>
      <c r="F145" s="151">
        <v>3000</v>
      </c>
      <c r="G145" s="151" t="s">
        <v>375</v>
      </c>
      <c r="H145" s="152" t="s">
        <v>376</v>
      </c>
      <c r="I145" s="153">
        <f>20000/19800</f>
        <v>1.0101010101010102</v>
      </c>
    </row>
    <row r="146" spans="2:9" x14ac:dyDescent="0.2">
      <c r="B146" s="320"/>
      <c r="C146" s="149"/>
      <c r="D146" s="149" t="s">
        <v>377</v>
      </c>
      <c r="E146" s="149"/>
      <c r="F146" s="151">
        <v>2800</v>
      </c>
      <c r="G146" s="151" t="s">
        <v>378</v>
      </c>
      <c r="H146" s="152" t="s">
        <v>379</v>
      </c>
      <c r="I146" s="153">
        <f>5500/11016</f>
        <v>0.49927378358750907</v>
      </c>
    </row>
    <row r="147" spans="2:9" x14ac:dyDescent="0.2">
      <c r="B147" s="320"/>
      <c r="C147" s="158" t="s">
        <v>380</v>
      </c>
      <c r="D147" s="158"/>
      <c r="E147" s="158" t="s">
        <v>170</v>
      </c>
      <c r="F147" s="160">
        <v>1600</v>
      </c>
      <c r="G147" s="160" t="s">
        <v>381</v>
      </c>
      <c r="H147" s="161" t="s">
        <v>382</v>
      </c>
      <c r="I147" s="162">
        <f>6300/3189</f>
        <v>1.9755409219190969</v>
      </c>
    </row>
    <row r="148" spans="2:9" x14ac:dyDescent="0.2">
      <c r="B148" s="320"/>
      <c r="C148" s="149"/>
      <c r="D148" s="150"/>
      <c r="E148" s="149"/>
      <c r="F148" s="151">
        <v>1800</v>
      </c>
      <c r="G148" s="151" t="s">
        <v>383</v>
      </c>
      <c r="H148" s="152" t="s">
        <v>384</v>
      </c>
      <c r="I148" s="153">
        <f>3000/858</f>
        <v>3.4965034965034967</v>
      </c>
    </row>
    <row r="149" spans="2:9" x14ac:dyDescent="0.2">
      <c r="B149" s="320"/>
      <c r="C149" s="149"/>
      <c r="D149" s="150"/>
      <c r="E149" s="149"/>
      <c r="F149" s="151"/>
      <c r="G149" s="151" t="s">
        <v>385</v>
      </c>
      <c r="H149" s="152" t="s">
        <v>386</v>
      </c>
      <c r="I149" s="153">
        <f>800/877.32</f>
        <v>0.91186796151917193</v>
      </c>
    </row>
    <row r="150" spans="2:9" x14ac:dyDescent="0.2">
      <c r="B150" s="320"/>
      <c r="C150" s="149"/>
      <c r="D150" s="149"/>
      <c r="E150" s="149"/>
      <c r="F150" s="151"/>
      <c r="G150" s="151"/>
      <c r="H150" s="152"/>
      <c r="I150" s="153"/>
    </row>
    <row r="151" spans="2:9" x14ac:dyDescent="0.2">
      <c r="B151" s="320"/>
      <c r="C151" s="158" t="s">
        <v>387</v>
      </c>
      <c r="D151" s="158" t="s">
        <v>388</v>
      </c>
      <c r="E151" s="158" t="s">
        <v>170</v>
      </c>
      <c r="F151" s="160">
        <v>1300</v>
      </c>
      <c r="G151" s="224" t="s">
        <v>389</v>
      </c>
      <c r="H151" s="225" t="s">
        <v>302</v>
      </c>
      <c r="I151" s="226">
        <f>5000/1000</f>
        <v>5</v>
      </c>
    </row>
    <row r="152" spans="2:9" x14ac:dyDescent="0.2">
      <c r="B152" s="320"/>
      <c r="C152" s="149"/>
      <c r="D152" s="149" t="s">
        <v>390</v>
      </c>
      <c r="E152" s="149"/>
      <c r="F152" s="151">
        <v>899</v>
      </c>
      <c r="G152" s="227" t="s">
        <v>391</v>
      </c>
      <c r="H152" s="228" t="s">
        <v>392</v>
      </c>
      <c r="I152" s="229">
        <f>9000/2930</f>
        <v>3.0716723549488054</v>
      </c>
    </row>
    <row r="153" spans="2:9" x14ac:dyDescent="0.2">
      <c r="B153" s="320"/>
      <c r="C153" s="149"/>
      <c r="D153" s="149" t="s">
        <v>393</v>
      </c>
      <c r="E153" s="149"/>
      <c r="F153" s="151">
        <v>1500</v>
      </c>
      <c r="G153" s="227" t="s">
        <v>394</v>
      </c>
      <c r="H153" s="228" t="s">
        <v>395</v>
      </c>
      <c r="I153" s="229">
        <f>2700/467</f>
        <v>5.7815845824411136</v>
      </c>
    </row>
    <row r="154" spans="2:9" x14ac:dyDescent="0.2">
      <c r="B154" s="320"/>
      <c r="C154" s="149"/>
      <c r="D154" s="149" t="s">
        <v>396</v>
      </c>
      <c r="E154" s="149"/>
      <c r="F154" s="151">
        <v>850</v>
      </c>
      <c r="G154" s="151"/>
      <c r="H154" s="152"/>
      <c r="I154" s="153"/>
    </row>
    <row r="155" spans="2:9" x14ac:dyDescent="0.2">
      <c r="B155" s="320"/>
      <c r="C155" s="158" t="s">
        <v>397</v>
      </c>
      <c r="D155" s="158" t="s">
        <v>398</v>
      </c>
      <c r="E155" s="158" t="s">
        <v>170</v>
      </c>
      <c r="F155" s="160">
        <v>1800</v>
      </c>
      <c r="G155" s="223" t="s">
        <v>479</v>
      </c>
      <c r="H155" s="161" t="s">
        <v>399</v>
      </c>
      <c r="I155" s="162">
        <f>3000/344</f>
        <v>8.720930232558139</v>
      </c>
    </row>
    <row r="156" spans="2:9" x14ac:dyDescent="0.2">
      <c r="B156" s="320"/>
      <c r="C156" s="149"/>
      <c r="D156" s="149" t="s">
        <v>400</v>
      </c>
      <c r="E156" s="149"/>
      <c r="F156" s="151">
        <v>950</v>
      </c>
      <c r="G156" s="151" t="s">
        <v>315</v>
      </c>
      <c r="H156" s="152" t="s">
        <v>401</v>
      </c>
      <c r="I156" s="153">
        <f>7500/5000</f>
        <v>1.5</v>
      </c>
    </row>
    <row r="157" spans="2:9" x14ac:dyDescent="0.2">
      <c r="B157" s="320"/>
      <c r="C157" s="149"/>
      <c r="D157" s="150" t="s">
        <v>402</v>
      </c>
      <c r="E157" s="149"/>
      <c r="F157" s="151">
        <v>1300</v>
      </c>
      <c r="G157" s="151" t="s">
        <v>403</v>
      </c>
      <c r="H157" s="152" t="s">
        <v>404</v>
      </c>
      <c r="I157" s="153">
        <f>20000/10000</f>
        <v>2</v>
      </c>
    </row>
    <row r="158" spans="2:9" x14ac:dyDescent="0.2">
      <c r="B158" s="320"/>
      <c r="C158" s="158" t="s">
        <v>118</v>
      </c>
      <c r="D158" s="158" t="s">
        <v>405</v>
      </c>
      <c r="E158" s="158" t="s">
        <v>170</v>
      </c>
      <c r="F158" s="160">
        <v>1853</v>
      </c>
      <c r="G158" s="160" t="s">
        <v>406</v>
      </c>
      <c r="H158" s="161" t="s">
        <v>407</v>
      </c>
      <c r="I158" s="162">
        <f>4500/3000</f>
        <v>1.5</v>
      </c>
    </row>
    <row r="159" spans="2:9" x14ac:dyDescent="0.2">
      <c r="B159" s="320"/>
      <c r="C159" s="149"/>
      <c r="D159" s="150" t="s">
        <v>315</v>
      </c>
      <c r="E159" s="149"/>
      <c r="F159" s="151">
        <v>1853</v>
      </c>
      <c r="G159" s="151" t="s">
        <v>315</v>
      </c>
      <c r="H159" s="152" t="s">
        <v>408</v>
      </c>
      <c r="I159" s="153">
        <f>1800/870</f>
        <v>2.0689655172413794</v>
      </c>
    </row>
    <row r="160" spans="2:9" x14ac:dyDescent="0.2">
      <c r="B160" s="320"/>
      <c r="C160" s="149"/>
      <c r="D160" s="150" t="s">
        <v>409</v>
      </c>
      <c r="E160" s="149"/>
      <c r="F160" s="151">
        <v>1729</v>
      </c>
      <c r="G160" s="151" t="s">
        <v>410</v>
      </c>
      <c r="H160" s="152" t="s">
        <v>411</v>
      </c>
      <c r="I160" s="153">
        <f>4322/665</f>
        <v>6.4992481203007522</v>
      </c>
    </row>
    <row r="161" spans="2:9" x14ac:dyDescent="0.2">
      <c r="B161" s="320"/>
      <c r="C161" s="158" t="s">
        <v>120</v>
      </c>
      <c r="D161" s="158" t="s">
        <v>412</v>
      </c>
      <c r="E161" s="158" t="s">
        <v>170</v>
      </c>
      <c r="F161" s="160">
        <v>1800</v>
      </c>
      <c r="G161" s="160"/>
      <c r="H161" s="161" t="s">
        <v>413</v>
      </c>
      <c r="I161" s="162">
        <f>2500/2322</f>
        <v>1.0766580534022394</v>
      </c>
    </row>
    <row r="162" spans="2:9" ht="13.5" thickBot="1" x14ac:dyDescent="0.25">
      <c r="B162" s="321"/>
      <c r="C162" s="164"/>
      <c r="D162" s="191" t="s">
        <v>414</v>
      </c>
      <c r="E162" s="164"/>
      <c r="F162" s="165">
        <v>2500</v>
      </c>
      <c r="G162" s="165"/>
      <c r="H162" s="166"/>
      <c r="I162" s="167"/>
    </row>
    <row r="163" spans="2:9" ht="15.75" thickBot="1" x14ac:dyDescent="0.3">
      <c r="B163" s="192"/>
      <c r="C163" s="329" t="s">
        <v>116</v>
      </c>
      <c r="D163" s="329"/>
      <c r="E163" s="329"/>
      <c r="F163" s="145">
        <f>AVERAGE(F142:F162)</f>
        <v>1859.6842105263158</v>
      </c>
      <c r="G163" s="193"/>
      <c r="H163" s="194"/>
      <c r="I163" s="148">
        <f>AVERAGE(I142:I162)</f>
        <v>2.8884165053164583</v>
      </c>
    </row>
    <row r="164" spans="2:9" ht="15.75" thickBot="1" x14ac:dyDescent="0.3">
      <c r="B164" s="143"/>
      <c r="C164" s="144"/>
      <c r="D164" s="144" t="s">
        <v>285</v>
      </c>
      <c r="E164" s="144"/>
      <c r="F164" s="145">
        <f>FLOOR(F163/H213,0.01)</f>
        <v>1852.45</v>
      </c>
      <c r="G164" s="146"/>
      <c r="H164" s="147"/>
      <c r="I164" s="148">
        <f>FLOOR(I163/H213,0.01)</f>
        <v>2.87</v>
      </c>
    </row>
    <row r="165" spans="2:9" x14ac:dyDescent="0.2">
      <c r="B165" s="322" t="s">
        <v>415</v>
      </c>
      <c r="C165" s="173" t="s">
        <v>122</v>
      </c>
      <c r="D165" s="230" t="s">
        <v>416</v>
      </c>
      <c r="E165" s="230" t="s">
        <v>417</v>
      </c>
      <c r="F165" s="234">
        <v>2200</v>
      </c>
      <c r="G165" s="235" t="s">
        <v>418</v>
      </c>
      <c r="H165" s="236" t="s">
        <v>485</v>
      </c>
      <c r="I165" s="237">
        <f>5000/1606</f>
        <v>3.1133250311332503</v>
      </c>
    </row>
    <row r="166" spans="2:9" x14ac:dyDescent="0.2">
      <c r="B166" s="320"/>
      <c r="C166" s="149"/>
      <c r="D166" s="231" t="s">
        <v>418</v>
      </c>
      <c r="E166" s="231"/>
      <c r="F166" s="238">
        <v>1400</v>
      </c>
      <c r="G166" s="239" t="s">
        <v>486</v>
      </c>
      <c r="H166" s="240" t="s">
        <v>487</v>
      </c>
      <c r="I166" s="241">
        <f>3500/1991</f>
        <v>1.7579105976896032</v>
      </c>
    </row>
    <row r="167" spans="2:9" x14ac:dyDescent="0.2">
      <c r="B167" s="320"/>
      <c r="C167" s="149"/>
      <c r="D167" s="231" t="s">
        <v>416</v>
      </c>
      <c r="E167" s="231"/>
      <c r="F167" s="238">
        <v>2500</v>
      </c>
      <c r="G167" s="238" t="s">
        <v>315</v>
      </c>
      <c r="H167" s="242" t="s">
        <v>419</v>
      </c>
      <c r="I167" s="241">
        <f>1200/660</f>
        <v>1.8181818181818181</v>
      </c>
    </row>
    <row r="168" spans="2:9" x14ac:dyDescent="0.2">
      <c r="B168" s="320"/>
      <c r="C168" s="149"/>
      <c r="D168" s="231" t="s">
        <v>420</v>
      </c>
      <c r="E168" s="231"/>
      <c r="F168" s="238">
        <v>2200</v>
      </c>
      <c r="G168" s="238" t="s">
        <v>421</v>
      </c>
      <c r="H168" s="242" t="s">
        <v>422</v>
      </c>
      <c r="I168" s="241">
        <f>1350/612</f>
        <v>2.2058823529411766</v>
      </c>
    </row>
    <row r="169" spans="2:9" x14ac:dyDescent="0.2">
      <c r="B169" s="320"/>
      <c r="C169" s="149"/>
      <c r="D169" s="231" t="s">
        <v>423</v>
      </c>
      <c r="E169" s="231"/>
      <c r="F169" s="238">
        <v>1800</v>
      </c>
      <c r="G169" s="238" t="s">
        <v>315</v>
      </c>
      <c r="H169" s="242" t="s">
        <v>424</v>
      </c>
      <c r="I169" s="241">
        <f>12000/1144</f>
        <v>10.48951048951049</v>
      </c>
    </row>
    <row r="170" spans="2:9" x14ac:dyDescent="0.2">
      <c r="B170" s="320"/>
      <c r="C170" s="158" t="s">
        <v>425</v>
      </c>
      <c r="D170" s="243" t="s">
        <v>441</v>
      </c>
      <c r="E170" s="243" t="s">
        <v>417</v>
      </c>
      <c r="F170" s="244">
        <v>1500</v>
      </c>
      <c r="G170" s="244" t="s">
        <v>427</v>
      </c>
      <c r="H170" s="245" t="s">
        <v>428</v>
      </c>
      <c r="I170" s="246">
        <f>2000/419</f>
        <v>4.7732696897374698</v>
      </c>
    </row>
    <row r="171" spans="2:9" x14ac:dyDescent="0.2">
      <c r="B171" s="320"/>
      <c r="C171" s="149"/>
      <c r="D171" s="231" t="s">
        <v>490</v>
      </c>
      <c r="E171" s="231"/>
      <c r="F171" s="238">
        <v>2500</v>
      </c>
      <c r="G171" s="247" t="s">
        <v>426</v>
      </c>
      <c r="H171" s="240" t="s">
        <v>493</v>
      </c>
      <c r="I171" s="241">
        <f>2000/2000</f>
        <v>1</v>
      </c>
    </row>
    <row r="172" spans="2:9" x14ac:dyDescent="0.2">
      <c r="B172" s="320"/>
      <c r="C172" s="149"/>
      <c r="D172" s="231" t="s">
        <v>491</v>
      </c>
      <c r="E172" s="231"/>
      <c r="F172" s="238">
        <v>1550</v>
      </c>
      <c r="G172" s="239" t="s">
        <v>315</v>
      </c>
      <c r="H172" s="240" t="s">
        <v>494</v>
      </c>
      <c r="I172" s="248">
        <f>1412/647</f>
        <v>2.1823802163833075</v>
      </c>
    </row>
    <row r="173" spans="2:9" x14ac:dyDescent="0.2">
      <c r="B173" s="320"/>
      <c r="C173" s="149"/>
      <c r="D173" s="231" t="s">
        <v>492</v>
      </c>
      <c r="E173" s="231"/>
      <c r="F173" s="238">
        <v>3000</v>
      </c>
      <c r="G173" s="239"/>
      <c r="H173" s="240"/>
      <c r="I173" s="248"/>
    </row>
    <row r="174" spans="2:9" ht="15" x14ac:dyDescent="0.25">
      <c r="B174" s="320"/>
      <c r="C174" s="158" t="s">
        <v>429</v>
      </c>
      <c r="D174" s="243" t="s">
        <v>430</v>
      </c>
      <c r="E174" s="243" t="s">
        <v>417</v>
      </c>
      <c r="F174" s="244">
        <v>1300</v>
      </c>
      <c r="G174" s="249"/>
      <c r="H174" s="250"/>
      <c r="I174" s="251"/>
    </row>
    <row r="175" spans="2:9" ht="15" x14ac:dyDescent="0.25">
      <c r="B175" s="320"/>
      <c r="C175" s="149"/>
      <c r="D175" s="247" t="s">
        <v>495</v>
      </c>
      <c r="E175" s="231"/>
      <c r="F175" s="238">
        <v>750</v>
      </c>
      <c r="G175" s="252"/>
      <c r="H175" s="253"/>
      <c r="I175" s="254"/>
    </row>
    <row r="176" spans="2:9" ht="15" x14ac:dyDescent="0.25">
      <c r="B176" s="320"/>
      <c r="C176" s="149"/>
      <c r="D176" s="231" t="s">
        <v>431</v>
      </c>
      <c r="E176" s="231"/>
      <c r="F176" s="238">
        <v>1500</v>
      </c>
      <c r="G176" s="252"/>
      <c r="H176" s="253"/>
      <c r="I176" s="254"/>
    </row>
    <row r="177" spans="2:9" x14ac:dyDescent="0.2">
      <c r="B177" s="320"/>
      <c r="C177" s="158" t="s">
        <v>432</v>
      </c>
      <c r="D177" s="243" t="s">
        <v>433</v>
      </c>
      <c r="E177" s="243" t="s">
        <v>417</v>
      </c>
      <c r="F177" s="244">
        <v>2000</v>
      </c>
      <c r="G177" s="255" t="s">
        <v>488</v>
      </c>
      <c r="H177" s="256" t="s">
        <v>489</v>
      </c>
      <c r="I177" s="257">
        <f>2500/523.9575</f>
        <v>4.7713793580586215</v>
      </c>
    </row>
    <row r="178" spans="2:9" x14ac:dyDescent="0.2">
      <c r="B178" s="320"/>
      <c r="C178" s="149"/>
      <c r="D178" s="231" t="s">
        <v>501</v>
      </c>
      <c r="E178" s="231"/>
      <c r="F178" s="238">
        <v>1800</v>
      </c>
      <c r="G178" s="239"/>
      <c r="H178" s="240"/>
      <c r="I178" s="248"/>
    </row>
    <row r="179" spans="2:9" ht="15" x14ac:dyDescent="0.25">
      <c r="B179" s="320"/>
      <c r="C179" s="149"/>
      <c r="D179" s="231" t="s">
        <v>488</v>
      </c>
      <c r="E179" s="231"/>
      <c r="F179" s="238">
        <v>1900</v>
      </c>
      <c r="G179" s="252"/>
      <c r="H179" s="253"/>
      <c r="I179" s="254"/>
    </row>
    <row r="180" spans="2:9" x14ac:dyDescent="0.2">
      <c r="B180" s="320"/>
      <c r="C180" s="158" t="s">
        <v>121</v>
      </c>
      <c r="D180" s="243" t="s">
        <v>434</v>
      </c>
      <c r="E180" s="243" t="s">
        <v>417</v>
      </c>
      <c r="F180" s="244">
        <v>1500</v>
      </c>
      <c r="G180" s="244" t="s">
        <v>435</v>
      </c>
      <c r="H180" s="245" t="s">
        <v>436</v>
      </c>
      <c r="I180" s="246">
        <f>1000/520</f>
        <v>1.9230769230769231</v>
      </c>
    </row>
    <row r="181" spans="2:9" ht="15" x14ac:dyDescent="0.25">
      <c r="B181" s="320"/>
      <c r="C181" s="130"/>
      <c r="D181" s="247" t="s">
        <v>497</v>
      </c>
      <c r="E181" s="247"/>
      <c r="F181" s="238">
        <v>1600</v>
      </c>
      <c r="G181" s="238" t="s">
        <v>315</v>
      </c>
      <c r="H181" s="242" t="s">
        <v>437</v>
      </c>
      <c r="I181" s="241">
        <f>14000/14454</f>
        <v>0.96859000968590014</v>
      </c>
    </row>
    <row r="182" spans="2:9" ht="15" x14ac:dyDescent="0.25">
      <c r="B182" s="320"/>
      <c r="C182" s="130"/>
      <c r="D182" s="136"/>
      <c r="E182" s="247"/>
      <c r="F182" s="239">
        <v>2500</v>
      </c>
      <c r="G182" s="238" t="s">
        <v>315</v>
      </c>
      <c r="H182" s="242" t="s">
        <v>438</v>
      </c>
      <c r="I182" s="241">
        <f>1500/874</f>
        <v>1.7162471395881007</v>
      </c>
    </row>
    <row r="183" spans="2:9" ht="15" x14ac:dyDescent="0.25">
      <c r="B183" s="320"/>
      <c r="C183" s="130"/>
      <c r="D183" s="247" t="s">
        <v>496</v>
      </c>
      <c r="E183" s="136"/>
      <c r="F183" s="239">
        <v>2500</v>
      </c>
      <c r="G183" s="239" t="s">
        <v>498</v>
      </c>
      <c r="H183" s="240" t="s">
        <v>330</v>
      </c>
      <c r="I183" s="241">
        <f>1700/500</f>
        <v>3.4</v>
      </c>
    </row>
    <row r="184" spans="2:9" ht="15" x14ac:dyDescent="0.25">
      <c r="B184" s="320"/>
      <c r="C184" s="130"/>
      <c r="D184" s="247"/>
      <c r="E184" s="136"/>
      <c r="F184" s="239"/>
      <c r="G184" s="239" t="s">
        <v>499</v>
      </c>
      <c r="H184" s="240" t="s">
        <v>500</v>
      </c>
      <c r="I184" s="241">
        <f>20000/14545</f>
        <v>1.3750429700928155</v>
      </c>
    </row>
    <row r="185" spans="2:9" ht="15" x14ac:dyDescent="0.25">
      <c r="B185" s="320"/>
      <c r="C185" s="158" t="s">
        <v>439</v>
      </c>
      <c r="D185" s="243" t="s">
        <v>315</v>
      </c>
      <c r="E185" s="243" t="s">
        <v>417</v>
      </c>
      <c r="F185" s="244">
        <v>1200</v>
      </c>
      <c r="G185" s="249"/>
      <c r="H185" s="250"/>
      <c r="I185" s="251"/>
    </row>
    <row r="186" spans="2:9" x14ac:dyDescent="0.2">
      <c r="B186" s="320"/>
      <c r="C186" s="158" t="s">
        <v>440</v>
      </c>
      <c r="D186" s="243" t="s">
        <v>441</v>
      </c>
      <c r="E186" s="243" t="s">
        <v>417</v>
      </c>
      <c r="F186" s="244">
        <v>2100</v>
      </c>
      <c r="G186" s="244" t="s">
        <v>442</v>
      </c>
      <c r="H186" s="245" t="s">
        <v>443</v>
      </c>
      <c r="I186" s="246">
        <f>2500/450</f>
        <v>5.5555555555555554</v>
      </c>
    </row>
    <row r="187" spans="2:9" ht="15" x14ac:dyDescent="0.25">
      <c r="B187" s="320"/>
      <c r="C187" s="130"/>
      <c r="D187" s="231" t="s">
        <v>444</v>
      </c>
      <c r="E187" s="231"/>
      <c r="F187" s="238">
        <v>800</v>
      </c>
      <c r="G187" s="252"/>
      <c r="H187" s="253"/>
      <c r="I187" s="254"/>
    </row>
    <row r="188" spans="2:9" ht="15" x14ac:dyDescent="0.25">
      <c r="B188" s="320"/>
      <c r="C188" s="130"/>
      <c r="D188" s="231" t="s">
        <v>445</v>
      </c>
      <c r="E188" s="231"/>
      <c r="F188" s="238">
        <v>1000</v>
      </c>
      <c r="G188" s="252"/>
      <c r="H188" s="253"/>
      <c r="I188" s="254"/>
    </row>
    <row r="189" spans="2:9" x14ac:dyDescent="0.2">
      <c r="B189" s="320"/>
      <c r="C189" s="195" t="s">
        <v>446</v>
      </c>
      <c r="D189" s="243" t="s">
        <v>447</v>
      </c>
      <c r="E189" s="258" t="s">
        <v>417</v>
      </c>
      <c r="F189" s="244">
        <v>1400</v>
      </c>
      <c r="G189" s="244" t="s">
        <v>448</v>
      </c>
      <c r="H189" s="245" t="s">
        <v>449</v>
      </c>
      <c r="I189" s="246">
        <f>2500/6182.23</f>
        <v>0.40438482554029859</v>
      </c>
    </row>
    <row r="190" spans="2:9" ht="15" x14ac:dyDescent="0.25">
      <c r="B190" s="320"/>
      <c r="C190" s="196"/>
      <c r="D190" s="247" t="s">
        <v>482</v>
      </c>
      <c r="E190" s="259"/>
      <c r="F190" s="238">
        <v>1700</v>
      </c>
      <c r="G190" s="238" t="s">
        <v>450</v>
      </c>
      <c r="H190" s="242" t="s">
        <v>451</v>
      </c>
      <c r="I190" s="241">
        <f>1500/36340</f>
        <v>4.1276829939460649E-2</v>
      </c>
    </row>
    <row r="191" spans="2:9" ht="15" x14ac:dyDescent="0.25">
      <c r="B191" s="320"/>
      <c r="C191" s="196"/>
      <c r="D191" s="231" t="s">
        <v>452</v>
      </c>
      <c r="E191" s="259"/>
      <c r="F191" s="238">
        <v>1500</v>
      </c>
      <c r="G191" s="238" t="s">
        <v>453</v>
      </c>
      <c r="H191" s="242" t="s">
        <v>454</v>
      </c>
      <c r="I191" s="241">
        <f>3000/1090</f>
        <v>2.7522935779816513</v>
      </c>
    </row>
    <row r="192" spans="2:9" ht="15" x14ac:dyDescent="0.25">
      <c r="B192" s="320"/>
      <c r="C192" s="196"/>
      <c r="D192" s="232" t="s">
        <v>455</v>
      </c>
      <c r="E192" s="259"/>
      <c r="F192" s="238">
        <v>1700</v>
      </c>
      <c r="G192" s="238" t="s">
        <v>456</v>
      </c>
      <c r="H192" s="242" t="s">
        <v>457</v>
      </c>
      <c r="I192" s="241">
        <f>2500/396</f>
        <v>6.3131313131313131</v>
      </c>
    </row>
    <row r="193" spans="2:9" ht="15" x14ac:dyDescent="0.25">
      <c r="B193" s="320"/>
      <c r="C193" s="197" t="s">
        <v>458</v>
      </c>
      <c r="D193" s="231" t="s">
        <v>459</v>
      </c>
      <c r="E193" s="243" t="s">
        <v>417</v>
      </c>
      <c r="F193" s="244">
        <v>700</v>
      </c>
      <c r="G193" s="249"/>
      <c r="H193" s="250"/>
      <c r="I193" s="251"/>
    </row>
    <row r="194" spans="2:9" ht="15" x14ac:dyDescent="0.25">
      <c r="B194" s="320"/>
      <c r="C194" s="149"/>
      <c r="D194" s="231" t="s">
        <v>315</v>
      </c>
      <c r="E194" s="231"/>
      <c r="F194" s="238">
        <v>1200</v>
      </c>
      <c r="G194" s="252"/>
      <c r="H194" s="253"/>
      <c r="I194" s="254"/>
    </row>
    <row r="195" spans="2:9" x14ac:dyDescent="0.2">
      <c r="B195" s="320"/>
      <c r="C195" s="158" t="s">
        <v>460</v>
      </c>
      <c r="D195" s="260" t="s">
        <v>480</v>
      </c>
      <c r="E195" s="243" t="s">
        <v>417</v>
      </c>
      <c r="F195" s="244">
        <v>1600</v>
      </c>
      <c r="G195" s="244" t="s">
        <v>315</v>
      </c>
      <c r="H195" s="245" t="s">
        <v>461</v>
      </c>
      <c r="I195" s="246">
        <f>450/320</f>
        <v>1.40625</v>
      </c>
    </row>
    <row r="196" spans="2:9" x14ac:dyDescent="0.2">
      <c r="B196" s="320"/>
      <c r="C196" s="154"/>
      <c r="D196" s="261" t="s">
        <v>481</v>
      </c>
      <c r="E196" s="232"/>
      <c r="F196" s="262">
        <v>1100</v>
      </c>
      <c r="G196" s="262"/>
      <c r="H196" s="263"/>
      <c r="I196" s="264"/>
    </row>
    <row r="197" spans="2:9" x14ac:dyDescent="0.2">
      <c r="B197" s="320"/>
      <c r="C197" s="158" t="s">
        <v>115</v>
      </c>
      <c r="D197" s="243" t="s">
        <v>441</v>
      </c>
      <c r="E197" s="243" t="s">
        <v>417</v>
      </c>
      <c r="F197" s="244">
        <v>2690</v>
      </c>
      <c r="G197" s="244" t="s">
        <v>462</v>
      </c>
      <c r="H197" s="245" t="s">
        <v>463</v>
      </c>
      <c r="I197" s="246">
        <f>2000/944</f>
        <v>2.1186440677966103</v>
      </c>
    </row>
    <row r="198" spans="2:9" ht="15" x14ac:dyDescent="0.25">
      <c r="B198" s="320"/>
      <c r="C198" s="130"/>
      <c r="D198" s="231" t="s">
        <v>315</v>
      </c>
      <c r="E198" s="231"/>
      <c r="F198" s="238">
        <v>1900</v>
      </c>
      <c r="G198" s="238" t="s">
        <v>462</v>
      </c>
      <c r="H198" s="242" t="s">
        <v>464</v>
      </c>
      <c r="I198" s="241">
        <f>2000/1847</f>
        <v>1.0828370330265296</v>
      </c>
    </row>
    <row r="199" spans="2:9" ht="15" x14ac:dyDescent="0.25">
      <c r="B199" s="320"/>
      <c r="C199" s="130"/>
      <c r="D199" s="231" t="s">
        <v>465</v>
      </c>
      <c r="E199" s="231"/>
      <c r="F199" s="238">
        <v>1100</v>
      </c>
      <c r="G199" s="238" t="s">
        <v>466</v>
      </c>
      <c r="H199" s="242" t="s">
        <v>467</v>
      </c>
      <c r="I199" s="241">
        <f>4000/1015</f>
        <v>3.9408866995073892</v>
      </c>
    </row>
    <row r="200" spans="2:9" ht="15" x14ac:dyDescent="0.25">
      <c r="B200" s="320"/>
      <c r="C200" s="130"/>
      <c r="D200" s="247" t="s">
        <v>484</v>
      </c>
      <c r="E200" s="231"/>
      <c r="F200" s="238">
        <v>1100</v>
      </c>
      <c r="G200" s="239" t="s">
        <v>483</v>
      </c>
      <c r="H200" s="240" t="s">
        <v>302</v>
      </c>
      <c r="I200" s="241">
        <f>2200/1000</f>
        <v>2.2000000000000002</v>
      </c>
    </row>
    <row r="201" spans="2:9" ht="15" x14ac:dyDescent="0.25">
      <c r="B201" s="320"/>
      <c r="C201" s="158" t="s">
        <v>468</v>
      </c>
      <c r="D201" s="243" t="s">
        <v>469</v>
      </c>
      <c r="E201" s="243" t="s">
        <v>417</v>
      </c>
      <c r="F201" s="244">
        <v>950</v>
      </c>
      <c r="G201" s="249"/>
      <c r="H201" s="250"/>
      <c r="I201" s="265"/>
    </row>
    <row r="202" spans="2:9" ht="15" x14ac:dyDescent="0.25">
      <c r="B202" s="320"/>
      <c r="C202" s="149"/>
      <c r="D202" s="231" t="s">
        <v>470</v>
      </c>
      <c r="E202" s="231"/>
      <c r="F202" s="238">
        <v>1000</v>
      </c>
      <c r="G202" s="252"/>
      <c r="H202" s="253"/>
      <c r="I202" s="266"/>
    </row>
    <row r="203" spans="2:9" ht="15.75" thickBot="1" x14ac:dyDescent="0.3">
      <c r="B203" s="321"/>
      <c r="C203" s="164"/>
      <c r="D203" s="233" t="s">
        <v>471</v>
      </c>
      <c r="E203" s="233"/>
      <c r="F203" s="267">
        <v>1040</v>
      </c>
      <c r="G203" s="268"/>
      <c r="H203" s="269"/>
      <c r="I203" s="270"/>
    </row>
    <row r="204" spans="2:9" ht="15.75" thickBot="1" x14ac:dyDescent="0.3">
      <c r="B204" s="198"/>
      <c r="C204" s="323" t="s">
        <v>116</v>
      </c>
      <c r="D204" s="323"/>
      <c r="E204" s="323"/>
      <c r="F204" s="199">
        <f>AVERAGE(F165:F203)</f>
        <v>1625.7894736842106</v>
      </c>
      <c r="G204" s="200"/>
      <c r="H204" s="201"/>
      <c r="I204" s="202">
        <f>AVERAGE(I165:I203)</f>
        <v>2.8045856874399284</v>
      </c>
    </row>
    <row r="205" spans="2:9" ht="15.75" thickBot="1" x14ac:dyDescent="0.3">
      <c r="B205" s="143"/>
      <c r="C205" s="144"/>
      <c r="D205" s="144" t="s">
        <v>285</v>
      </c>
      <c r="E205" s="144"/>
      <c r="F205" s="145">
        <f>FLOOR(F204/H213,0.01)</f>
        <v>1619.47</v>
      </c>
      <c r="G205" s="146"/>
      <c r="H205" s="147"/>
      <c r="I205" s="148">
        <f>FLOOR(I204/H213,0.01)</f>
        <v>2.79</v>
      </c>
    </row>
    <row r="206" spans="2:9" ht="13.5" thickBot="1" x14ac:dyDescent="0.25">
      <c r="F206" s="203"/>
      <c r="G206" s="203"/>
      <c r="H206" s="204"/>
      <c r="I206" s="204"/>
    </row>
    <row r="207" spans="2:9" ht="15.75" thickBot="1" x14ac:dyDescent="0.25">
      <c r="B207" s="324" t="s">
        <v>123</v>
      </c>
      <c r="C207" s="325"/>
      <c r="D207" s="326"/>
      <c r="E207" s="205"/>
      <c r="F207" s="206">
        <f>ROUND(AVERAGE(F77,F106,F140,F163,F204),2)</f>
        <v>1744.35</v>
      </c>
      <c r="G207" s="207"/>
      <c r="H207" s="208"/>
      <c r="I207" s="209">
        <f>ROUND(AVERAGE(I77,I106,I140,I163,I204),2)</f>
        <v>2.99</v>
      </c>
    </row>
    <row r="208" spans="2:9" ht="15.75" thickBot="1" x14ac:dyDescent="0.3">
      <c r="B208" s="143"/>
      <c r="C208" s="144"/>
      <c r="D208" s="144" t="s">
        <v>285</v>
      </c>
      <c r="E208" s="144"/>
      <c r="F208" s="145">
        <f>FLOOR(F207/H213,0.01)</f>
        <v>1737.57</v>
      </c>
      <c r="G208" s="146"/>
      <c r="H208" s="147"/>
      <c r="I208" s="148">
        <f>FLOOR(I207/H213,0.01)</f>
        <v>2.97</v>
      </c>
    </row>
    <row r="209" spans="3:9" x14ac:dyDescent="0.2">
      <c r="F209" s="203"/>
      <c r="G209" s="203"/>
      <c r="H209" s="204"/>
      <c r="I209" s="204"/>
    </row>
    <row r="210" spans="3:9" x14ac:dyDescent="0.2">
      <c r="D210" s="210">
        <v>45566</v>
      </c>
      <c r="E210" s="210">
        <v>45597</v>
      </c>
      <c r="F210" s="210">
        <v>45627</v>
      </c>
      <c r="G210" s="203"/>
      <c r="H210" s="204"/>
      <c r="I210" s="204"/>
    </row>
    <row r="211" spans="3:9" ht="15" x14ac:dyDescent="0.25">
      <c r="C211" s="48" t="s">
        <v>472</v>
      </c>
      <c r="D211" s="211">
        <v>1171.2719999999999</v>
      </c>
      <c r="E211" s="212">
        <v>1186.462</v>
      </c>
      <c r="F211" s="211">
        <v>1197.5619999999999</v>
      </c>
      <c r="G211" s="213">
        <f>(F211-D211)/D211</f>
        <v>2.2445682983969536E-2</v>
      </c>
      <c r="H211" s="214">
        <f>1+G211</f>
        <v>1.0224456829839694</v>
      </c>
      <c r="I211" s="204"/>
    </row>
    <row r="212" spans="3:9" x14ac:dyDescent="0.2">
      <c r="C212" s="48" t="s">
        <v>473</v>
      </c>
      <c r="D212" s="215">
        <v>7036.33</v>
      </c>
      <c r="E212" s="215">
        <v>7063.77</v>
      </c>
      <c r="F212" s="216" t="s">
        <v>30</v>
      </c>
      <c r="G212" s="213">
        <f>(E212-D212)/D212</f>
        <v>3.8997602443319899E-3</v>
      </c>
      <c r="H212" s="214">
        <f t="shared" ref="H212:H213" si="0">1+G212</f>
        <v>1.003899760244332</v>
      </c>
      <c r="I212" s="204"/>
    </row>
    <row r="213" spans="3:9" x14ac:dyDescent="0.2">
      <c r="C213" s="48" t="s">
        <v>474</v>
      </c>
      <c r="D213" s="211">
        <v>1813.347</v>
      </c>
      <c r="E213" s="211">
        <v>1820.4190000000001</v>
      </c>
      <c r="F213" s="216" t="s">
        <v>30</v>
      </c>
      <c r="G213" s="213">
        <f>(E213-D213)/D213</f>
        <v>3.8999706068392407E-3</v>
      </c>
      <c r="H213" s="214">
        <f t="shared" si="0"/>
        <v>1.0038999706068392</v>
      </c>
      <c r="I213" s="204"/>
    </row>
  </sheetData>
  <mergeCells count="15">
    <mergeCell ref="B1:I1"/>
    <mergeCell ref="B2:B3"/>
    <mergeCell ref="C2:C3"/>
    <mergeCell ref="D2:I2"/>
    <mergeCell ref="B4:B76"/>
    <mergeCell ref="C77:E77"/>
    <mergeCell ref="B79:B105"/>
    <mergeCell ref="B165:B203"/>
    <mergeCell ref="C204:E204"/>
    <mergeCell ref="B207:D207"/>
    <mergeCell ref="C106:E106"/>
    <mergeCell ref="B108:B139"/>
    <mergeCell ref="C140:E140"/>
    <mergeCell ref="B142:B162"/>
    <mergeCell ref="C163:E163"/>
  </mergeCells>
  <pageMargins left="2.598425196850394" right="0.23622047244094491" top="0.74803149606299213" bottom="0.74803149606299213" header="0.31496062992125984" footer="0.31496062992125984"/>
  <pageSetup paperSize="8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</vt:lpstr>
      <vt:lpstr>Fator</vt:lpstr>
      <vt:lpstr>Dimensionamento</vt:lpstr>
      <vt:lpstr>Cotações regionais</vt:lpstr>
      <vt:lpstr>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JMK</dc:creator>
  <cp:lastModifiedBy>Viviane Giamberardino</cp:lastModifiedBy>
  <cp:lastPrinted>2025-01-10T12:45:46Z</cp:lastPrinted>
  <dcterms:created xsi:type="dcterms:W3CDTF">2022-03-22T15:05:09Z</dcterms:created>
  <dcterms:modified xsi:type="dcterms:W3CDTF">2025-01-27T21:02:12Z</dcterms:modified>
</cp:coreProperties>
</file>