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vianegiam\Documents\ADM LOCAL_Canteiro_Mob_Desmob_Agosto_2025_modelos\"/>
    </mc:Choice>
  </mc:AlternateContent>
  <xr:revisionPtr revIDLastSave="0" documentId="13_ncr:1_{1581DD6D-BB67-403B-8FD1-176E85306C2D}" xr6:coauthVersionLast="36" xr6:coauthVersionMax="36" xr10:uidLastSave="{00000000-0000-0000-0000-000000000000}"/>
  <bookViews>
    <workbookView xWindow="-21720" yWindow="-2160" windowWidth="21840" windowHeight="13140" xr2:uid="{00000000-000D-0000-FFFF-FFFF00000000}"/>
  </bookViews>
  <sheets>
    <sheet name="CO" sheetId="4" r:id="rId1"/>
    <sheet name="Fator" sheetId="5" r:id="rId2"/>
    <sheet name="Dimensionamento" sheetId="6" r:id="rId3"/>
    <sheet name="Cotações regionais" sheetId="7" r:id="rId4"/>
    <sheet name="CMCC_Sinduscon_PR" sheetId="8" r:id="rId5"/>
    <sheet name="Dimensionamento SESMT" sheetId="9" r:id="rId6"/>
  </sheets>
  <definedNames>
    <definedName name="_xlnm.Print_Area" localSheetId="0">CO!$A$1:$W$77</definedName>
  </definedNames>
  <calcPr calcId="191029"/>
</workbook>
</file>

<file path=xl/calcChain.xml><?xml version="1.0" encoding="utf-8"?>
<calcChain xmlns="http://schemas.openxmlformats.org/spreadsheetml/2006/main">
  <c r="F184" i="7" l="1"/>
  <c r="I178" i="7"/>
  <c r="I177" i="7"/>
  <c r="I176" i="7"/>
  <c r="I172" i="7"/>
  <c r="I171" i="7"/>
  <c r="I170" i="7"/>
  <c r="I165" i="7"/>
  <c r="I163" i="7"/>
  <c r="I162" i="7"/>
  <c r="I155" i="7"/>
  <c r="I154" i="7"/>
  <c r="I153" i="7"/>
  <c r="I152" i="7"/>
  <c r="I151" i="7"/>
  <c r="I150" i="7"/>
  <c r="I184" i="7" s="1"/>
  <c r="I149" i="7"/>
  <c r="I148" i="7"/>
  <c r="F147" i="7"/>
  <c r="I145" i="7"/>
  <c r="I144" i="7"/>
  <c r="I143" i="7"/>
  <c r="I142" i="7"/>
  <c r="I141" i="7"/>
  <c r="I140" i="7"/>
  <c r="I138" i="7"/>
  <c r="I137" i="7"/>
  <c r="I136" i="7"/>
  <c r="I135" i="7"/>
  <c r="I134" i="7"/>
  <c r="I133" i="7"/>
  <c r="I132" i="7"/>
  <c r="I131" i="7"/>
  <c r="I130" i="7"/>
  <c r="I129" i="7"/>
  <c r="I128" i="7"/>
  <c r="I147" i="7" s="1"/>
  <c r="F127" i="7"/>
  <c r="I121" i="7"/>
  <c r="I127" i="7" s="1"/>
  <c r="I117" i="7"/>
  <c r="I101" i="7"/>
  <c r="I100" i="7"/>
  <c r="I99" i="7"/>
  <c r="I98" i="7"/>
  <c r="F97" i="7"/>
  <c r="I91" i="7"/>
  <c r="I90" i="7"/>
  <c r="I89" i="7"/>
  <c r="I88" i="7"/>
  <c r="I87" i="7"/>
  <c r="I86" i="7"/>
  <c r="I85" i="7"/>
  <c r="I84" i="7"/>
  <c r="I83" i="7"/>
  <c r="I97" i="7" s="1"/>
  <c r="I82" i="7"/>
  <c r="I81" i="7"/>
  <c r="I80" i="7"/>
  <c r="I79" i="7"/>
  <c r="F78" i="7"/>
  <c r="F186" i="7" s="1"/>
  <c r="I75" i="7"/>
  <c r="I74" i="7"/>
  <c r="I73" i="7"/>
  <c r="I70" i="7"/>
  <c r="I67" i="7"/>
  <c r="I66" i="7"/>
  <c r="I64" i="7"/>
  <c r="I63" i="7"/>
  <c r="I61" i="7"/>
  <c r="I60" i="7"/>
  <c r="I59" i="7"/>
  <c r="I51" i="7"/>
  <c r="I50" i="7"/>
  <c r="I49" i="7"/>
  <c r="I47" i="7"/>
  <c r="I45" i="7"/>
  <c r="I36" i="7"/>
  <c r="I35" i="7"/>
  <c r="I34" i="7"/>
  <c r="I32" i="7"/>
  <c r="I31" i="7"/>
  <c r="I30" i="7"/>
  <c r="I28" i="7"/>
  <c r="I27" i="7"/>
  <c r="I26" i="7"/>
  <c r="I25" i="7"/>
  <c r="I24" i="7"/>
  <c r="I23" i="7"/>
  <c r="I21" i="7"/>
  <c r="I18" i="7"/>
  <c r="I10" i="7"/>
  <c r="I9" i="7"/>
  <c r="I8" i="7"/>
  <c r="I7" i="7"/>
  <c r="I6" i="7"/>
  <c r="I5" i="7"/>
  <c r="I78" i="7" s="1"/>
  <c r="I186" i="7" s="1"/>
  <c r="U37" i="4" l="1"/>
  <c r="V37" i="4" s="1"/>
  <c r="S37" i="4"/>
  <c r="T37" i="4" s="1"/>
  <c r="Q37" i="4"/>
  <c r="R37" i="4" s="1"/>
  <c r="O37" i="4"/>
  <c r="P37" i="4" s="1"/>
  <c r="M37" i="4"/>
  <c r="N37" i="4" s="1"/>
  <c r="K37" i="4"/>
  <c r="L37" i="4" s="1"/>
  <c r="I37" i="4"/>
  <c r="J37" i="4" s="1"/>
  <c r="G37" i="4"/>
  <c r="H37" i="4" s="1"/>
  <c r="G8" i="6"/>
  <c r="G36" i="4"/>
  <c r="E37" i="4"/>
  <c r="F37" i="4" s="1"/>
  <c r="F54" i="4" l="1"/>
  <c r="F43" i="4"/>
  <c r="F34" i="4"/>
  <c r="F24" i="4"/>
  <c r="F53" i="4"/>
  <c r="J2" i="6" l="1"/>
  <c r="O19" i="4" l="1"/>
  <c r="U52" i="4" l="1"/>
  <c r="U43" i="4"/>
  <c r="S43" i="4"/>
  <c r="U41" i="4"/>
  <c r="S41" i="4"/>
  <c r="U32" i="4"/>
  <c r="S39" i="4"/>
  <c r="S38" i="4"/>
  <c r="S36" i="4"/>
  <c r="S34" i="4"/>
  <c r="S33" i="4"/>
  <c r="S32" i="4"/>
  <c r="U24" i="4"/>
  <c r="S24" i="4"/>
  <c r="T24" i="4" s="1"/>
  <c r="Q41" i="4"/>
  <c r="Q32" i="4"/>
  <c r="Q60" i="4"/>
  <c r="Q50" i="4"/>
  <c r="Q47" i="4"/>
  <c r="Q45" i="4"/>
  <c r="Q44" i="4"/>
  <c r="Q40" i="4"/>
  <c r="Q38" i="4"/>
  <c r="Q36" i="4"/>
  <c r="Q34" i="4"/>
  <c r="Q24" i="4"/>
  <c r="O60" i="4"/>
  <c r="O50" i="4"/>
  <c r="O47" i="4"/>
  <c r="O45" i="4"/>
  <c r="O44" i="4"/>
  <c r="O41" i="4"/>
  <c r="O40" i="4"/>
  <c r="O38" i="4"/>
  <c r="P38" i="4" s="1"/>
  <c r="O36" i="4"/>
  <c r="O34" i="4"/>
  <c r="O32" i="4"/>
  <c r="O24" i="4"/>
  <c r="M60" i="4"/>
  <c r="M43" i="4"/>
  <c r="M41" i="4"/>
  <c r="M39" i="4"/>
  <c r="M38" i="4"/>
  <c r="M36" i="4"/>
  <c r="M34" i="4"/>
  <c r="M33" i="4"/>
  <c r="M32" i="4"/>
  <c r="M29" i="4"/>
  <c r="M24" i="4"/>
  <c r="K60" i="4"/>
  <c r="K43" i="4" l="1"/>
  <c r="K32" i="4"/>
  <c r="K41" i="4"/>
  <c r="K39" i="4"/>
  <c r="U38" i="4"/>
  <c r="K38" i="4"/>
  <c r="K34" i="4"/>
  <c r="L34" i="4" s="1"/>
  <c r="K29" i="4" l="1"/>
  <c r="K24" i="4"/>
  <c r="L24" i="4" s="1"/>
  <c r="I60" i="4"/>
  <c r="F60" i="4"/>
  <c r="I50" i="4"/>
  <c r="I40" i="4"/>
  <c r="I38" i="4"/>
  <c r="I34" i="4"/>
  <c r="I31" i="4"/>
  <c r="I29" i="4"/>
  <c r="L60" i="4" l="1"/>
  <c r="R60" i="4"/>
  <c r="N60" i="4"/>
  <c r="P60" i="4"/>
  <c r="J60" i="4"/>
  <c r="G38" i="4"/>
  <c r="G60" i="4" l="1"/>
  <c r="H10" i="6" l="1"/>
  <c r="K9" i="6"/>
  <c r="L10" i="6" s="1"/>
  <c r="K8" i="6"/>
  <c r="L8" i="6" s="1"/>
  <c r="F25" i="4" l="1"/>
  <c r="H17" i="6" l="1"/>
  <c r="I2" i="6"/>
  <c r="H2" i="6"/>
  <c r="G29" i="6"/>
  <c r="H29" i="6" s="1"/>
  <c r="H11" i="6" l="1"/>
  <c r="I39" i="4" s="1"/>
  <c r="G9" i="6"/>
  <c r="H9" i="6" s="1"/>
  <c r="L30" i="4" s="1"/>
  <c r="H8" i="6"/>
  <c r="L9" i="6"/>
  <c r="O21" i="4"/>
  <c r="O20" i="4"/>
  <c r="O18" i="4"/>
  <c r="O12" i="4"/>
  <c r="O10" i="4"/>
  <c r="D13" i="5" l="1"/>
  <c r="F28" i="4" l="1"/>
  <c r="L28" i="4" s="1"/>
  <c r="S49" i="4" l="1"/>
  <c r="U49" i="4" l="1"/>
  <c r="U48" i="4"/>
  <c r="M49" i="4"/>
  <c r="M48" i="4"/>
  <c r="E39" i="4"/>
  <c r="F39" i="4" s="1"/>
  <c r="J39" i="4" s="1"/>
  <c r="U51" i="4" l="1"/>
  <c r="M51" i="4"/>
  <c r="K51" i="4"/>
  <c r="U50" i="4"/>
  <c r="S50" i="4"/>
  <c r="U47" i="4"/>
  <c r="U46" i="4"/>
  <c r="U45" i="4"/>
  <c r="S45" i="4"/>
  <c r="U44" i="4"/>
  <c r="S44" i="4"/>
  <c r="U42" i="4"/>
  <c r="U40" i="4"/>
  <c r="U23" i="4"/>
  <c r="I32" i="4"/>
  <c r="U31" i="4"/>
  <c r="M46" i="4"/>
  <c r="K46" i="4"/>
  <c r="M45" i="4"/>
  <c r="K45" i="4"/>
  <c r="M44" i="4"/>
  <c r="K44" i="4"/>
  <c r="M42" i="4"/>
  <c r="K42" i="4"/>
  <c r="M40" i="4"/>
  <c r="K40" i="4"/>
  <c r="M31" i="4"/>
  <c r="K31" i="4"/>
  <c r="K23" i="4"/>
  <c r="M23" i="4"/>
  <c r="I45" i="4"/>
  <c r="I44" i="4"/>
  <c r="I41" i="4"/>
  <c r="I30" i="4"/>
  <c r="J30" i="4" s="1"/>
  <c r="G41" i="4"/>
  <c r="G47" i="4"/>
  <c r="I23" i="4"/>
  <c r="V43" i="4" l="1"/>
  <c r="D26" i="6"/>
  <c r="D24" i="6"/>
  <c r="D21" i="6"/>
  <c r="D19" i="6"/>
  <c r="D17" i="6"/>
  <c r="G24" i="4" l="1"/>
  <c r="H24" i="4" s="1"/>
  <c r="G10" i="4"/>
  <c r="G16" i="4" l="1"/>
  <c r="H60" i="4"/>
  <c r="G14" i="4"/>
  <c r="G15" i="4"/>
  <c r="D12" i="5" l="1"/>
  <c r="D11" i="5"/>
  <c r="D9" i="5"/>
  <c r="D8" i="5"/>
  <c r="D7" i="5"/>
  <c r="D6" i="5"/>
  <c r="D5" i="5"/>
  <c r="D4" i="5"/>
  <c r="D3" i="5"/>
  <c r="D2" i="5"/>
  <c r="C10" i="5"/>
  <c r="D10" i="5" s="1"/>
  <c r="P19" i="4" l="1"/>
  <c r="J53" i="4" l="1"/>
  <c r="D4" i="4" l="1"/>
  <c r="U25" i="4" l="1"/>
  <c r="M50" i="4"/>
  <c r="M47" i="4"/>
  <c r="M25" i="4"/>
  <c r="K50" i="4"/>
  <c r="K47" i="4"/>
  <c r="K25" i="4"/>
  <c r="L25" i="4" s="1"/>
  <c r="I47" i="4"/>
  <c r="I43" i="4"/>
  <c r="I25" i="4"/>
  <c r="I24" i="4"/>
  <c r="G50" i="4"/>
  <c r="V25" i="4" l="1"/>
  <c r="P27" i="4" l="1"/>
  <c r="G18" i="4" l="1"/>
  <c r="H18" i="4" s="1"/>
  <c r="F8" i="6"/>
  <c r="E29" i="4" l="1"/>
  <c r="F29" i="4" s="1"/>
  <c r="L29" i="4" s="1"/>
  <c r="E26" i="4"/>
  <c r="F26" i="4" s="1"/>
  <c r="E31" i="4"/>
  <c r="F31" i="4" s="1"/>
  <c r="L31" i="4" s="1"/>
  <c r="E33" i="4"/>
  <c r="F33" i="4" s="1"/>
  <c r="E35" i="4"/>
  <c r="F35" i="4" s="1"/>
  <c r="E40" i="4"/>
  <c r="E42" i="4"/>
  <c r="F42" i="4" s="1"/>
  <c r="L42" i="4" s="1"/>
  <c r="E49" i="4"/>
  <c r="F49" i="4" s="1"/>
  <c r="E51" i="4"/>
  <c r="F51" i="4" s="1"/>
  <c r="E57" i="4"/>
  <c r="F57" i="4" s="1"/>
  <c r="E58" i="4"/>
  <c r="F58" i="4" s="1"/>
  <c r="E59" i="4"/>
  <c r="F59" i="4" s="1"/>
  <c r="E23" i="4"/>
  <c r="F23" i="4" s="1"/>
  <c r="Q12" i="4"/>
  <c r="R38" i="4" s="1"/>
  <c r="U10" i="4"/>
  <c r="S10" i="4"/>
  <c r="Q10" i="4"/>
  <c r="M10" i="4"/>
  <c r="M16" i="4" s="1"/>
  <c r="K10" i="4"/>
  <c r="K16" i="4" s="1"/>
  <c r="I10" i="4"/>
  <c r="I16" i="4" s="1"/>
  <c r="S47" i="4"/>
  <c r="U20" i="4"/>
  <c r="V20" i="4" s="1"/>
  <c r="U19" i="4"/>
  <c r="V19" i="4" s="1"/>
  <c r="U18" i="4"/>
  <c r="V18" i="4" s="1"/>
  <c r="M20" i="4"/>
  <c r="N20" i="4" s="1"/>
  <c r="M19" i="4"/>
  <c r="N19" i="4" s="1"/>
  <c r="M18" i="4"/>
  <c r="N18" i="4" s="1"/>
  <c r="K18" i="4"/>
  <c r="L18" i="4" s="1"/>
  <c r="K20" i="4"/>
  <c r="L20" i="4" s="1"/>
  <c r="K19" i="4"/>
  <c r="L19" i="4" s="1"/>
  <c r="V28" i="4"/>
  <c r="T28" i="4"/>
  <c r="R28" i="4"/>
  <c r="P28" i="4"/>
  <c r="N28" i="4"/>
  <c r="J28" i="4"/>
  <c r="S20" i="4"/>
  <c r="T20" i="4" s="1"/>
  <c r="S19" i="4"/>
  <c r="T19" i="4" s="1"/>
  <c r="S18" i="4"/>
  <c r="T18" i="4" s="1"/>
  <c r="Q20" i="4"/>
  <c r="R20" i="4" s="1"/>
  <c r="Q19" i="4"/>
  <c r="R19" i="4" s="1"/>
  <c r="Q18" i="4"/>
  <c r="R18" i="4" s="1"/>
  <c r="P20" i="4"/>
  <c r="P18" i="4"/>
  <c r="I20" i="4"/>
  <c r="J20" i="4" s="1"/>
  <c r="I19" i="4"/>
  <c r="J19" i="4" s="1"/>
  <c r="I18" i="4"/>
  <c r="J18" i="4" s="1"/>
  <c r="G20" i="4"/>
  <c r="H20" i="4" s="1"/>
  <c r="G19" i="4"/>
  <c r="H19" i="4" s="1"/>
  <c r="S12" i="4"/>
  <c r="T38" i="4" s="1"/>
  <c r="G12" i="4"/>
  <c r="H38" i="4" s="1"/>
  <c r="U12" i="4"/>
  <c r="V38" i="4" s="1"/>
  <c r="M12" i="4"/>
  <c r="N38" i="4" s="1"/>
  <c r="K12" i="4"/>
  <c r="L38" i="4" s="1"/>
  <c r="I12" i="4"/>
  <c r="T23" i="4" l="1"/>
  <c r="L23" i="4"/>
  <c r="J34" i="4"/>
  <c r="I33" i="4"/>
  <c r="J38" i="4"/>
  <c r="I36" i="4"/>
  <c r="F40" i="4"/>
  <c r="U34" i="4"/>
  <c r="V34" i="4" s="1"/>
  <c r="N34" i="4"/>
  <c r="H42" i="4"/>
  <c r="V42" i="4"/>
  <c r="N31" i="4"/>
  <c r="G34" i="4"/>
  <c r="H34" i="4" s="1"/>
  <c r="H23" i="4"/>
  <c r="E48" i="4"/>
  <c r="F48" i="4" s="1"/>
  <c r="H27" i="4"/>
  <c r="J27" i="4"/>
  <c r="R27" i="4"/>
  <c r="T30" i="4"/>
  <c r="R30" i="4"/>
  <c r="L27" i="4"/>
  <c r="T27" i="4"/>
  <c r="N30" i="4"/>
  <c r="V30" i="4"/>
  <c r="N26" i="4"/>
  <c r="N27" i="4"/>
  <c r="V27" i="4"/>
  <c r="H30" i="4"/>
  <c r="P30" i="4"/>
  <c r="J26" i="4"/>
  <c r="H25" i="4"/>
  <c r="R25" i="4"/>
  <c r="T25" i="4"/>
  <c r="N25" i="4"/>
  <c r="J25" i="4"/>
  <c r="P25" i="4"/>
  <c r="V26" i="4"/>
  <c r="H26" i="4"/>
  <c r="L26" i="4"/>
  <c r="R26" i="4"/>
  <c r="T26" i="4"/>
  <c r="P26" i="4"/>
  <c r="C9" i="6"/>
  <c r="F9" i="6" s="1"/>
  <c r="U21" i="4"/>
  <c r="F5" i="6"/>
  <c r="F4" i="6"/>
  <c r="F6" i="6"/>
  <c r="F3" i="6"/>
  <c r="F10" i="6"/>
  <c r="F11" i="6"/>
  <c r="N39" i="4" s="1"/>
  <c r="F12" i="6"/>
  <c r="F13" i="6"/>
  <c r="V40" i="4" l="1"/>
  <c r="L40" i="4"/>
  <c r="T39" i="4"/>
  <c r="U29" i="4"/>
  <c r="K33" i="4"/>
  <c r="L33" i="4" s="1"/>
  <c r="L39" i="4"/>
  <c r="U33" i="4"/>
  <c r="U39" i="4"/>
  <c r="V39" i="4" s="1"/>
  <c r="F7" i="6"/>
  <c r="F14" i="6"/>
  <c r="U36" i="4" l="1"/>
  <c r="K36" i="4"/>
  <c r="H36" i="4"/>
  <c r="N42" i="4"/>
  <c r="T42" i="4"/>
  <c r="R42" i="4"/>
  <c r="P42" i="4"/>
  <c r="J42" i="4"/>
  <c r="V21" i="4"/>
  <c r="S21" i="4"/>
  <c r="T21" i="4" s="1"/>
  <c r="Q21" i="4"/>
  <c r="R21" i="4" s="1"/>
  <c r="P21" i="4"/>
  <c r="M21" i="4"/>
  <c r="N21" i="4" s="1"/>
  <c r="K21" i="4"/>
  <c r="L21" i="4" s="1"/>
  <c r="I21" i="4"/>
  <c r="J21" i="4" s="1"/>
  <c r="G21" i="4"/>
  <c r="H21" i="4" s="1"/>
  <c r="P23" i="4" l="1"/>
  <c r="P29" i="4"/>
  <c r="P31" i="4"/>
  <c r="P33" i="4"/>
  <c r="P35" i="4"/>
  <c r="P40" i="4"/>
  <c r="P48" i="4"/>
  <c r="P49" i="4"/>
  <c r="P51" i="4"/>
  <c r="P56" i="4"/>
  <c r="P57" i="4"/>
  <c r="P58" i="4"/>
  <c r="P59" i="4"/>
  <c r="H15" i="4" l="1"/>
  <c r="I14" i="4"/>
  <c r="J14" i="4" s="1"/>
  <c r="K14" i="4"/>
  <c r="L14" i="4" s="1"/>
  <c r="M14" i="4"/>
  <c r="N14" i="4" s="1"/>
  <c r="O14" i="4"/>
  <c r="Q14" i="4"/>
  <c r="R14" i="4" s="1"/>
  <c r="S14" i="4"/>
  <c r="T14" i="4" s="1"/>
  <c r="U14" i="4"/>
  <c r="V14" i="4" s="1"/>
  <c r="H14" i="4"/>
  <c r="O15" i="4"/>
  <c r="H16" i="4"/>
  <c r="R53" i="4"/>
  <c r="V53" i="4"/>
  <c r="T53" i="4"/>
  <c r="T59" i="4"/>
  <c r="T58" i="4"/>
  <c r="T57" i="4"/>
  <c r="T56" i="4"/>
  <c r="T55" i="4"/>
  <c r="T54" i="4"/>
  <c r="T51" i="4"/>
  <c r="T49" i="4"/>
  <c r="T48" i="4"/>
  <c r="T40" i="4"/>
  <c r="T35" i="4"/>
  <c r="T33" i="4"/>
  <c r="T31" i="4"/>
  <c r="T29" i="4"/>
  <c r="R59" i="4"/>
  <c r="R58" i="4"/>
  <c r="R57" i="4"/>
  <c r="R56" i="4"/>
  <c r="R55" i="4"/>
  <c r="R54" i="4"/>
  <c r="R51" i="4"/>
  <c r="R49" i="4"/>
  <c r="R48" i="4"/>
  <c r="R40" i="4"/>
  <c r="R35" i="4"/>
  <c r="R33" i="4"/>
  <c r="R31" i="4"/>
  <c r="R29" i="4"/>
  <c r="R23" i="4"/>
  <c r="P53" i="4"/>
  <c r="N53" i="4"/>
  <c r="L53" i="4"/>
  <c r="H53" i="4"/>
  <c r="V29" i="4"/>
  <c r="N29" i="4"/>
  <c r="J29" i="4"/>
  <c r="H29" i="4"/>
  <c r="P14" i="4" l="1"/>
  <c r="P15" i="4"/>
  <c r="O16" i="4"/>
  <c r="Q16" i="4"/>
  <c r="R16" i="4" s="1"/>
  <c r="J16" i="4"/>
  <c r="Q15" i="4"/>
  <c r="R15" i="4" s="1"/>
  <c r="I15" i="4"/>
  <c r="J15" i="4" s="1"/>
  <c r="U16" i="4"/>
  <c r="V16" i="4" s="1"/>
  <c r="N16" i="4"/>
  <c r="U15" i="4"/>
  <c r="V15" i="4" s="1"/>
  <c r="M15" i="4"/>
  <c r="N15" i="4" s="1"/>
  <c r="S16" i="4"/>
  <c r="T16" i="4" s="1"/>
  <c r="L16" i="4"/>
  <c r="S15" i="4"/>
  <c r="T15" i="4" s="1"/>
  <c r="K15" i="4"/>
  <c r="L15" i="4" s="1"/>
  <c r="P52" i="4"/>
  <c r="P50" i="4"/>
  <c r="P47" i="4"/>
  <c r="P46" i="4"/>
  <c r="P45" i="4"/>
  <c r="P44" i="4"/>
  <c r="P43" i="4"/>
  <c r="P41" i="4"/>
  <c r="P36" i="4"/>
  <c r="P34" i="4"/>
  <c r="P32" i="4"/>
  <c r="P24" i="4"/>
  <c r="P16" i="4" l="1"/>
  <c r="O61" i="4" s="1"/>
  <c r="V49" i="4"/>
  <c r="V59" i="4"/>
  <c r="V58" i="4"/>
  <c r="V57" i="4"/>
  <c r="V56" i="4"/>
  <c r="V55" i="4"/>
  <c r="V54" i="4"/>
  <c r="V51" i="4"/>
  <c r="V48" i="4"/>
  <c r="V35" i="4"/>
  <c r="V33" i="4"/>
  <c r="V31" i="4"/>
  <c r="V23" i="4"/>
  <c r="N48" i="4"/>
  <c r="N33" i="4"/>
  <c r="N23" i="4"/>
  <c r="N59" i="4"/>
  <c r="N58" i="4"/>
  <c r="N57" i="4"/>
  <c r="N56" i="4"/>
  <c r="N55" i="4"/>
  <c r="N54" i="4"/>
  <c r="N51" i="4"/>
  <c r="N49" i="4"/>
  <c r="N40" i="4"/>
  <c r="N35" i="4"/>
  <c r="L59" i="4"/>
  <c r="L58" i="4"/>
  <c r="L57" i="4"/>
  <c r="L56" i="4"/>
  <c r="L55" i="4"/>
  <c r="L54" i="4"/>
  <c r="L51" i="4"/>
  <c r="L49" i="4"/>
  <c r="L48" i="4"/>
  <c r="L35" i="4"/>
  <c r="J59" i="4"/>
  <c r="J58" i="4"/>
  <c r="J57" i="4"/>
  <c r="J56" i="4"/>
  <c r="J55" i="4"/>
  <c r="J54" i="4"/>
  <c r="J51" i="4"/>
  <c r="J49" i="4"/>
  <c r="J48" i="4"/>
  <c r="J40" i="4"/>
  <c r="J35" i="4"/>
  <c r="J33" i="4"/>
  <c r="J31" i="4"/>
  <c r="J23" i="4"/>
  <c r="H51" i="4"/>
  <c r="H59" i="4"/>
  <c r="H58" i="4"/>
  <c r="H57" i="4"/>
  <c r="H56" i="4"/>
  <c r="H55" i="4"/>
  <c r="H54" i="4"/>
  <c r="H49" i="4"/>
  <c r="H48" i="4"/>
  <c r="H40" i="4"/>
  <c r="H35" i="4"/>
  <c r="H33" i="4"/>
  <c r="H31" i="4"/>
  <c r="H28" i="4"/>
  <c r="O62" i="4" l="1"/>
  <c r="O63" i="4" s="1"/>
  <c r="O64" i="4" s="1"/>
  <c r="O65" i="4" s="1"/>
  <c r="V52" i="4"/>
  <c r="T52" i="4"/>
  <c r="R52" i="4"/>
  <c r="J52" i="4"/>
  <c r="N52" i="4"/>
  <c r="H52" i="4"/>
  <c r="L52" i="4"/>
  <c r="R24" i="4" l="1"/>
  <c r="T47" i="4"/>
  <c r="R47" i="4"/>
  <c r="T46" i="4"/>
  <c r="R46" i="4"/>
  <c r="R41" i="4"/>
  <c r="T41" i="4"/>
  <c r="T43" i="4"/>
  <c r="R43" i="4"/>
  <c r="T50" i="4"/>
  <c r="R50" i="4"/>
  <c r="R32" i="4"/>
  <c r="T32" i="4"/>
  <c r="T34" i="4"/>
  <c r="R34" i="4"/>
  <c r="R36" i="4"/>
  <c r="T36" i="4"/>
  <c r="T45" i="4"/>
  <c r="R45" i="4"/>
  <c r="R44" i="4"/>
  <c r="T44" i="4"/>
  <c r="V50" i="4"/>
  <c r="V36" i="4"/>
  <c r="V44" i="4"/>
  <c r="V46" i="4"/>
  <c r="V45" i="4"/>
  <c r="V32" i="4"/>
  <c r="V41" i="4"/>
  <c r="V47" i="4"/>
  <c r="N47" i="4"/>
  <c r="L47" i="4"/>
  <c r="J47" i="4"/>
  <c r="H47" i="4"/>
  <c r="H46" i="4"/>
  <c r="N46" i="4"/>
  <c r="L46" i="4"/>
  <c r="J46" i="4"/>
  <c r="L41" i="4"/>
  <c r="N41" i="4"/>
  <c r="H41" i="4"/>
  <c r="J41" i="4"/>
  <c r="N50" i="4"/>
  <c r="L50" i="4"/>
  <c r="J50" i="4"/>
  <c r="H50" i="4"/>
  <c r="N24" i="4"/>
  <c r="J24" i="4"/>
  <c r="H32" i="4"/>
  <c r="N32" i="4"/>
  <c r="J32" i="4"/>
  <c r="L32" i="4"/>
  <c r="N43" i="4"/>
  <c r="L43" i="4"/>
  <c r="H43" i="4"/>
  <c r="J43" i="4"/>
  <c r="L36" i="4"/>
  <c r="N36" i="4"/>
  <c r="J36" i="4"/>
  <c r="N45" i="4"/>
  <c r="L45" i="4"/>
  <c r="H45" i="4"/>
  <c r="J45" i="4"/>
  <c r="L44" i="4"/>
  <c r="N44" i="4"/>
  <c r="H44" i="4"/>
  <c r="J44" i="4"/>
  <c r="I61" i="4" l="1"/>
  <c r="I62" i="4" s="1"/>
  <c r="I63" i="4" s="1"/>
  <c r="G61" i="4"/>
  <c r="G62" i="4" s="1"/>
  <c r="G63" i="4" s="1"/>
  <c r="G64" i="4" s="1"/>
  <c r="U61" i="4"/>
  <c r="U62" i="4" s="1"/>
  <c r="U63" i="4" s="1"/>
  <c r="M61" i="4"/>
  <c r="M62" i="4" s="1"/>
  <c r="M63" i="4" s="1"/>
  <c r="S61" i="4"/>
  <c r="S62" i="4" s="1"/>
  <c r="S63" i="4" s="1"/>
  <c r="Q61" i="4"/>
  <c r="Q62" i="4" s="1"/>
  <c r="Q63" i="4" s="1"/>
  <c r="K61" i="4"/>
  <c r="K62" i="4" s="1"/>
  <c r="K63" i="4" s="1"/>
  <c r="M64" i="4" l="1"/>
  <c r="M65" i="4" s="1"/>
  <c r="U64" i="4"/>
  <c r="U65" i="4" s="1"/>
  <c r="Q64" i="4"/>
  <c r="Q65" i="4" s="1"/>
  <c r="K64" i="4"/>
  <c r="K65" i="4" s="1"/>
  <c r="S64" i="4"/>
  <c r="S65" i="4" s="1"/>
  <c r="I64" i="4"/>
  <c r="I65" i="4" s="1"/>
  <c r="G65" i="4"/>
</calcChain>
</file>

<file path=xl/sharedStrings.xml><?xml version="1.0" encoding="utf-8"?>
<sst xmlns="http://schemas.openxmlformats.org/spreadsheetml/2006/main" count="778" uniqueCount="494">
  <si>
    <t>CANTEIRO DE OBRAS</t>
  </si>
  <si>
    <t>DESCRIÇÃO</t>
  </si>
  <si>
    <t>UNIDADE</t>
  </si>
  <si>
    <t>QUANTIDADE</t>
  </si>
  <si>
    <t>CUSTO TOTAL</t>
  </si>
  <si>
    <t>INSTALAÇÕES PROVISÓRIAS</t>
  </si>
  <si>
    <t>mês</t>
  </si>
  <si>
    <t>Posto de Combustível e Lubrificação</t>
  </si>
  <si>
    <t>Banheiros Químicos (com lavatório)</t>
  </si>
  <si>
    <t>m</t>
  </si>
  <si>
    <t>Fossa Séptica</t>
  </si>
  <si>
    <t>un</t>
  </si>
  <si>
    <t>Sumidouro</t>
  </si>
  <si>
    <t>m2</t>
  </si>
  <si>
    <t>PREÇO TOTAL</t>
  </si>
  <si>
    <t>OBS:</t>
  </si>
  <si>
    <t>DESPESAS DIVERSAS (5%)</t>
  </si>
  <si>
    <t>DESPESAS DIVERSAS (5,00%)</t>
  </si>
  <si>
    <t>Regularização do subleito</t>
  </si>
  <si>
    <t>Lastro de brita</t>
  </si>
  <si>
    <t>PREPARAÇÃO DO TERRENO</t>
  </si>
  <si>
    <t>Tapume metálico</t>
  </si>
  <si>
    <t>Portão de acesso</t>
  </si>
  <si>
    <t>Tapume de madeira</t>
  </si>
  <si>
    <t>FECHAMENTO</t>
  </si>
  <si>
    <t>Limpeza mecanizada da camada vegetal</t>
  </si>
  <si>
    <t>1. LASTRO DE BRITA - ACRESCER TRANSPORTE</t>
  </si>
  <si>
    <t>Cerca 4 fios c/ mourões de concreto</t>
  </si>
  <si>
    <t>und</t>
  </si>
  <si>
    <t>ÁREA TOTAL DO TERRENO</t>
  </si>
  <si>
    <t>-</t>
  </si>
  <si>
    <t>Escritório provisório em madeira</t>
  </si>
  <si>
    <t>Alojamento provisório em alvenaria (locação)</t>
  </si>
  <si>
    <t>ADM</t>
  </si>
  <si>
    <t>Almoxarifado provisório em madeira</t>
  </si>
  <si>
    <t>Depósito provisório em madeira</t>
  </si>
  <si>
    <t>Galpões para Carpintaria e Armação</t>
  </si>
  <si>
    <t>Rampa de lavagem</t>
  </si>
  <si>
    <t>Sistema separador água e óleo</t>
  </si>
  <si>
    <t>Central de armadura</t>
  </si>
  <si>
    <t>Reservatório elevado de água 1000l</t>
  </si>
  <si>
    <t>PRAZO DE EXECUÇÃO DA OBRA:</t>
  </si>
  <si>
    <t>2. FECHAMENTO - CONSIDERAR DE ACORDO COM O LOCAL DE INSTALAÇÃO DO CANTEIRO, LEVANDO EM CONSIDERAÇÃO QUESTÕES DE ACESSO E SEGURANÇA</t>
  </si>
  <si>
    <t>Área de recreação/vivência</t>
  </si>
  <si>
    <t>DESPESAS DIVERSAS - MOBILIÁRIO, EQUIPAMENTOS DE INFORMÁTICA, LOUÇAS E ACESSÓRIOS, LIGAÇÕES PROVISÓRIAS, ÁGUA POTÁVEL, LAVANDERIA, ETC.</t>
  </si>
  <si>
    <t>5. ALOJAMENTO PROVISÓRIO EM ALVENARIA (LOCAÇÃO) - CUSTO MÉDIO DE LOCAÇÃO DE RESIDÊNCIA NA REGIÃO DE ABRANGÊNCIA DA OBRA</t>
  </si>
  <si>
    <t>4. ALOJAMENTOS E ÁREA DE VIVÊNCIA - EM FUNÇÃO DO PLANO DE EXECUÇÃO E DA LOCALIZAÇÃO OBRA</t>
  </si>
  <si>
    <t>7. UTILIZAÇÃO DA ÁREA DE CANTEIRO (LOCAÇÃO) - CUSTO MÉDIO DE LOCAÇÃO DE TERRENO NA REGIÃO DE ABRANGÊNCIA DA OBRA</t>
  </si>
  <si>
    <t>8. INSTALAÇÕES INDUSTRIAIS - ACRESCIDOS QUANDO INDICADOS EM PROJETO, DO CONTRÁRIO SERÁ CONSIDERADO INSTALAÇÕES COMERCIAIS</t>
  </si>
  <si>
    <t xml:space="preserve"> B1</t>
  </si>
  <si>
    <t xml:space="preserve"> C1</t>
  </si>
  <si>
    <t xml:space="preserve"> D1</t>
  </si>
  <si>
    <t>IMPLANTAÇÃO, AUMENTO DE CAPACIDADE (DUPLICAÇÃO, FAIXAS) E RESTAURAÇÃO</t>
  </si>
  <si>
    <t>CONSERVAÇÃO PAVIMENTO</t>
  </si>
  <si>
    <t>CONSERVAÇÃO FAIXA DOMÍNIO  E RECUPERAÇÃO DE SINALIZAÇÃO</t>
  </si>
  <si>
    <t xml:space="preserve"> E1</t>
  </si>
  <si>
    <t xml:space="preserve"> F1</t>
  </si>
  <si>
    <t xml:space="preserve"> G1</t>
  </si>
  <si>
    <t xml:space="preserve"> H1</t>
  </si>
  <si>
    <t>Alojamento provisório em madeira</t>
  </si>
  <si>
    <t>PROJETO</t>
  </si>
  <si>
    <t>PEQUENO PORTE (ATÉ 10KM)</t>
  </si>
  <si>
    <t>MÉDIO PORTE (10-30KM)</t>
  </si>
  <si>
    <t>GRANDE PORTE (ACIMA 30KM)</t>
  </si>
  <si>
    <t>DER/PR</t>
  </si>
  <si>
    <t>CMCC</t>
  </si>
  <si>
    <t>COTAÇÃO</t>
  </si>
  <si>
    <t>CN-001</t>
  </si>
  <si>
    <t>CN-002</t>
  </si>
  <si>
    <t>CN-003</t>
  </si>
  <si>
    <t>FATOR</t>
  </si>
  <si>
    <t>Sanitário e vestiário provisório em madeira</t>
  </si>
  <si>
    <t>Refeitório e cozinha provisória em madeira</t>
  </si>
  <si>
    <t>CN-005</t>
  </si>
  <si>
    <r>
      <rPr>
        <b/>
        <sz val="8"/>
        <rFont val="Arial"/>
        <family val="2"/>
      </rPr>
      <t>CUSTO
UNITÁRIO</t>
    </r>
  </si>
  <si>
    <t>OU</t>
  </si>
  <si>
    <t>3. REFEITÓRIO E COZINHA - EM ÁREA URBANA, PODERÁ SER SUBSTITUÍDO POR VALE ALIMENTAÇÃO (ALTERAR ENCARGOS COMPLEMENTARES DA MÃO DE OBRA)</t>
  </si>
  <si>
    <t>6. BANHEIRO QUÍMICO - PODERÁ SER AJUSTADO CONFORME PREVISÃO DE FRENTES DE SERVIÇO</t>
  </si>
  <si>
    <t>Oficina provisória em madeira</t>
  </si>
  <si>
    <t>DIMENSIONAMENTO PARA UM MÁXIMO DE</t>
  </si>
  <si>
    <t>FUNCIONÁRIOS</t>
  </si>
  <si>
    <t>LOCAL</t>
  </si>
  <si>
    <t>APARELHOS</t>
  </si>
  <si>
    <t>QT</t>
  </si>
  <si>
    <r>
      <t>ÁREA M</t>
    </r>
    <r>
      <rPr>
        <sz val="11"/>
        <color rgb="FF000000"/>
        <rFont val="Arial"/>
        <family val="2"/>
      </rPr>
      <t>²</t>
    </r>
  </si>
  <si>
    <r>
      <t>TOTAL M</t>
    </r>
    <r>
      <rPr>
        <sz val="11"/>
        <color rgb="FF000000"/>
        <rFont val="Arial"/>
        <family val="2"/>
      </rPr>
      <t>²</t>
    </r>
  </si>
  <si>
    <t>Módulo vaso sanitário</t>
  </si>
  <si>
    <t>Módulo chuveiro</t>
  </si>
  <si>
    <t>Módulo</t>
  </si>
  <si>
    <t xml:space="preserve"> Módulo mictório</t>
  </si>
  <si>
    <t xml:space="preserve"> Módulo lavatório</t>
  </si>
  <si>
    <t>INSTALAÇÕES SANITÁRIAS</t>
  </si>
  <si>
    <t>REFEITÓRIO COZINHA</t>
  </si>
  <si>
    <t xml:space="preserve">ALOJAMENTO </t>
  </si>
  <si>
    <t xml:space="preserve">VESTIÁRIO </t>
  </si>
  <si>
    <t>LAVANDERIA</t>
  </si>
  <si>
    <t xml:space="preserve"> BEBEDOURO</t>
  </si>
  <si>
    <t>TOTAL DE ÁREA</t>
  </si>
  <si>
    <t>MÃO DE OBRA - MÉDIA</t>
  </si>
  <si>
    <t>MÃO DE OBRA - PICO</t>
  </si>
  <si>
    <t>Residência provisória em alvenaria (locação)</t>
  </si>
  <si>
    <t>Residência provisória em madeira</t>
  </si>
  <si>
    <t>OAE (Pontes, Viadutos e Passarelas) e CONTENÇÃO</t>
  </si>
  <si>
    <t xml:space="preserve"> TÚNEIS, GRANDES OAE'S ENTRE OUTRAS)</t>
  </si>
  <si>
    <t xml:space="preserve">9. ÁREA DE VIVÊNCIA EM TENDA PIRAMIDAL , COM BANQUETAS DOBRÁVEIS E MESAS DOBRÁVEIS (1,80 m) </t>
  </si>
  <si>
    <t>OBRAS NÃO CONVENCIONAIS E OBRAS ESTRITAMENTE URBANAS</t>
  </si>
  <si>
    <t>Superintendência</t>
  </si>
  <si>
    <t>Localização</t>
  </si>
  <si>
    <t>Municipio</t>
  </si>
  <si>
    <t>Locações</t>
  </si>
  <si>
    <t>Edificação / mês</t>
  </si>
  <si>
    <t>Terreno / m2</t>
  </si>
  <si>
    <t>Contenda</t>
  </si>
  <si>
    <t>Curitiba</t>
  </si>
  <si>
    <t>Campina Grande do Sul</t>
  </si>
  <si>
    <t>Pato Branco</t>
  </si>
  <si>
    <t>Média</t>
  </si>
  <si>
    <t>Ponta Grossa</t>
  </si>
  <si>
    <t>Paranavaí</t>
  </si>
  <si>
    <t>Maringá</t>
  </si>
  <si>
    <t>Cianorte</t>
  </si>
  <si>
    <t>Foz do Iguaçu</t>
  </si>
  <si>
    <t>Cascavel</t>
  </si>
  <si>
    <t>Média geral</t>
  </si>
  <si>
    <t xml:space="preserve">Utilização da Área de Canteiro (locação) </t>
  </si>
  <si>
    <t>SUB-TOTAL</t>
  </si>
  <si>
    <t>COM  DESONERAÇÃO</t>
  </si>
  <si>
    <t>Ext.   Km</t>
  </si>
  <si>
    <t>Residência - container de 20' (6,00x2,40x2,30 m) c/ janela</t>
  </si>
  <si>
    <t>Alojamento - container de 20' (6,00x2,40x2,30 m) c/ janela</t>
  </si>
  <si>
    <t>Almoxarifado - container de 20' (6,00x2,40x2,30 m) c/ janelas</t>
  </si>
  <si>
    <t>Depósito - container de 20' (6,00x2,40x2,30 m)</t>
  </si>
  <si>
    <t>Sala de topografia - container de 20' (6,00x2,40x2,30 m) c/ janela</t>
  </si>
  <si>
    <t>Laboratório - container de 20' (6,00x2,40x2,30 m) c/ janela</t>
  </si>
  <si>
    <t>Guarita - container (1/2) de 20' (3,00x2,40x 2,30 m) c/ janela</t>
  </si>
  <si>
    <r>
      <rPr>
        <b/>
        <sz val="9"/>
        <color rgb="FF00B050"/>
        <rFont val="Arial"/>
        <family val="2"/>
      </rPr>
      <t>Escritório</t>
    </r>
    <r>
      <rPr>
        <sz val="9"/>
        <color rgb="FF00B050"/>
        <rFont val="Arial"/>
        <family val="2"/>
      </rPr>
      <t xml:space="preserve"> -12,00 m compr. - container duplo de 20' (6,00x2,40x 2,30 m) c/ janelas e BWC</t>
    </r>
  </si>
  <si>
    <r>
      <rPr>
        <b/>
        <sz val="9"/>
        <color rgb="FF00B050"/>
        <rFont val="Arial"/>
        <family val="2"/>
      </rPr>
      <t>Residência</t>
    </r>
    <r>
      <rPr>
        <sz val="9"/>
        <color rgb="FF00B050"/>
        <rFont val="Arial"/>
        <family val="2"/>
      </rPr>
      <t xml:space="preserve"> - container de 20' (6,00x2,40x2,30 m) c/ janela</t>
    </r>
  </si>
  <si>
    <r>
      <rPr>
        <b/>
        <sz val="9"/>
        <color rgb="FF00B050"/>
        <rFont val="Arial"/>
        <family val="2"/>
      </rPr>
      <t>Alojamento</t>
    </r>
    <r>
      <rPr>
        <sz val="9"/>
        <color rgb="FF00B050"/>
        <rFont val="Arial"/>
        <family val="2"/>
      </rPr>
      <t xml:space="preserve"> - container de 20' (6,00x2,40x2,30 m) c/ janela</t>
    </r>
  </si>
  <si>
    <r>
      <rPr>
        <b/>
        <sz val="9"/>
        <color rgb="FF00B050"/>
        <rFont val="Arial"/>
        <family val="2"/>
      </rPr>
      <t>Refeitório e cozinh</t>
    </r>
    <r>
      <rPr>
        <sz val="9"/>
        <color rgb="FF00B050"/>
        <rFont val="Arial"/>
        <family val="2"/>
      </rPr>
      <t>a - 02 containers 20' (6,00x2,40x 2,30 m)  c/ janelas</t>
    </r>
  </si>
  <si>
    <t>Capacidade (funcionários)</t>
  </si>
  <si>
    <r>
      <rPr>
        <b/>
        <sz val="9"/>
        <color rgb="FF00B050"/>
        <rFont val="Arial"/>
        <family val="2"/>
      </rPr>
      <t>Sanitário e vestiário</t>
    </r>
    <r>
      <rPr>
        <sz val="9"/>
        <color rgb="FF00B050"/>
        <rFont val="Arial"/>
        <family val="2"/>
      </rPr>
      <t xml:space="preserve"> -  container 20' (6,00x2,40x2,30 m) (mínimo c/ 03 vasos sanitários e 03 pontos p/ chuveiros e 03 lavatórios ou calha lavatório)</t>
    </r>
  </si>
  <si>
    <t>Ambulatório - container de 20' (6,00x2,40x2,30 m) c/ janelas</t>
  </si>
  <si>
    <t>Área de recreação/vivência -  container de 20' (6,00x2,40x2,30 m) c/ janelas</t>
  </si>
  <si>
    <t xml:space="preserve">Área mínima </t>
  </si>
  <si>
    <t>28,80 m2 /  05 pessoas</t>
  </si>
  <si>
    <t>14,40 m2 / 03 pessoas</t>
  </si>
  <si>
    <t>57,60 m2</t>
  </si>
  <si>
    <t xml:space="preserve">28,80 m2 </t>
  </si>
  <si>
    <t>14,40 m2 /  20 pessoas</t>
  </si>
  <si>
    <t>28,80 m2</t>
  </si>
  <si>
    <t>36,00 m2</t>
  </si>
  <si>
    <t>Oficina - 02 container de 20' (6,00x2,40x2,30 m) c/ janelas + 01 container (1/2) de 20 ' (3,00x2,40x2,30 m c/ janela)</t>
  </si>
  <si>
    <t>7,20 m2</t>
  </si>
  <si>
    <t>14,40 m2</t>
  </si>
  <si>
    <t>A1</t>
  </si>
  <si>
    <t>CONVÊNIO MUNICIPAL</t>
  </si>
  <si>
    <r>
      <t xml:space="preserve">Refeitório e cozinha - </t>
    </r>
    <r>
      <rPr>
        <b/>
        <sz val="8"/>
        <color rgb="FF00B050"/>
        <rFont val="Arial"/>
        <family val="2"/>
      </rPr>
      <t>02 conjuntos</t>
    </r>
    <r>
      <rPr>
        <sz val="8"/>
        <color rgb="FF00B050"/>
        <rFont val="Arial"/>
        <family val="2"/>
      </rPr>
      <t xml:space="preserve"> de 02 containers 20' (6,00x2,40x 2,30 m)  c/ janelas</t>
    </r>
  </si>
  <si>
    <t>Lavanderia provisória em madeira</t>
  </si>
  <si>
    <t>conteineres</t>
  </si>
  <si>
    <t>LOCAÇÕES</t>
  </si>
  <si>
    <t>Informações</t>
  </si>
  <si>
    <t>Leste</t>
  </si>
  <si>
    <t>Bairro Capão da Imbuia</t>
  </si>
  <si>
    <t>Casa c/ 03 quartos</t>
  </si>
  <si>
    <t>Bairro Tatuquara</t>
  </si>
  <si>
    <t>Bairro Capão Raso</t>
  </si>
  <si>
    <t>Bairro Alto Boqueirão</t>
  </si>
  <si>
    <t>Bairro Barreirinha</t>
  </si>
  <si>
    <t>Bairro Bacacheri</t>
  </si>
  <si>
    <t>576,00 m2</t>
  </si>
  <si>
    <t>Bairro Pinheirinho</t>
  </si>
  <si>
    <t>Bairro Campo do Santana</t>
  </si>
  <si>
    <t>12.800,00 m2</t>
  </si>
  <si>
    <t>Bairro Fazendinha</t>
  </si>
  <si>
    <t>Bairro Boqueirão</t>
  </si>
  <si>
    <t>Bairro São Braz</t>
  </si>
  <si>
    <t>Bairro Alto</t>
  </si>
  <si>
    <t>Bairro São Lourenço</t>
  </si>
  <si>
    <t>Pinhais</t>
  </si>
  <si>
    <t>Bairro Alto Tarumã</t>
  </si>
  <si>
    <t>Bairro Vargem Grande</t>
  </si>
  <si>
    <t>350,00 m2</t>
  </si>
  <si>
    <t>Bairro Centro</t>
  </si>
  <si>
    <t>Colombo</t>
  </si>
  <si>
    <t>Bairro São Gabriel</t>
  </si>
  <si>
    <t>600,00 m2</t>
  </si>
  <si>
    <t>Bairro Campo Pequeno</t>
  </si>
  <si>
    <t>Bairro Capivari</t>
  </si>
  <si>
    <t>41.000,00 m2</t>
  </si>
  <si>
    <t>Bairro Planta Teixeira de Lara</t>
  </si>
  <si>
    <t>234,00 m2</t>
  </si>
  <si>
    <t>Bairro Guaraituba</t>
  </si>
  <si>
    <t>1.200,00 m2</t>
  </si>
  <si>
    <t>Piraquara</t>
  </si>
  <si>
    <t>Bairro Jardim Primavera</t>
  </si>
  <si>
    <t>Fazenda Rio Grande</t>
  </si>
  <si>
    <t>Bairro Santa Terezinha</t>
  </si>
  <si>
    <t>Bairro Nações</t>
  </si>
  <si>
    <t>1.080,00 m2</t>
  </si>
  <si>
    <t>Bairro Iguaçu</t>
  </si>
  <si>
    <t>Bairro Eucaliptos</t>
  </si>
  <si>
    <t>Zona Rural</t>
  </si>
  <si>
    <t>Morretes</t>
  </si>
  <si>
    <t>Guaratuba</t>
  </si>
  <si>
    <t>Matinhos</t>
  </si>
  <si>
    <t>São José dos Pinhais</t>
  </si>
  <si>
    <t>Bairro São Pedro</t>
  </si>
  <si>
    <t>Bairro Colônia Rio Grande</t>
  </si>
  <si>
    <t>Bairro Costeira</t>
  </si>
  <si>
    <t>Bairro Rio Pequeno</t>
  </si>
  <si>
    <t>São Mateus do Sul</t>
  </si>
  <si>
    <t>União da Vitória</t>
  </si>
  <si>
    <t>419,50 m2</t>
  </si>
  <si>
    <t>Bairro Navegantes</t>
  </si>
  <si>
    <t>Pontal do Paraná</t>
  </si>
  <si>
    <t>Praia de Leste</t>
  </si>
  <si>
    <t>1.178,00 m2</t>
  </si>
  <si>
    <t>Bairro Canoas</t>
  </si>
  <si>
    <t>Paranaguá</t>
  </si>
  <si>
    <t>Bairro Tuiutí</t>
  </si>
  <si>
    <t>Bairro Leblon</t>
  </si>
  <si>
    <t>Quatro Barras</t>
  </si>
  <si>
    <t>Jardim Menino Deus</t>
  </si>
  <si>
    <t>Bairro Jardim Paulista</t>
  </si>
  <si>
    <t>480,00 m2</t>
  </si>
  <si>
    <t>Bairro Jardim Santa Rosa</t>
  </si>
  <si>
    <t>Campos Gerais</t>
  </si>
  <si>
    <t>Oficinas</t>
  </si>
  <si>
    <t>Orfãs</t>
  </si>
  <si>
    <t>Guarapuava</t>
  </si>
  <si>
    <t>Irati</t>
  </si>
  <si>
    <t>Centro</t>
  </si>
  <si>
    <t>Norte</t>
  </si>
  <si>
    <t>Londrina</t>
  </si>
  <si>
    <t>Santo Antônio da Platina</t>
  </si>
  <si>
    <t>Rolândia</t>
  </si>
  <si>
    <t>Siqueira Campos</t>
  </si>
  <si>
    <t>Arapongas</t>
  </si>
  <si>
    <t>Apucarana</t>
  </si>
  <si>
    <t>Jacarezinho</t>
  </si>
  <si>
    <t>Noroeste</t>
  </si>
  <si>
    <t>Umuarama</t>
  </si>
  <si>
    <t>Zona VII</t>
  </si>
  <si>
    <t>Sarandi</t>
  </si>
  <si>
    <t>Ecovalley Ecologic City</t>
  </si>
  <si>
    <t>Marialva</t>
  </si>
  <si>
    <t>Jardim São Jorge</t>
  </si>
  <si>
    <t>Oeste</t>
  </si>
  <si>
    <t>c/ 03 quartos</t>
  </si>
  <si>
    <t>Santa Cruz</t>
  </si>
  <si>
    <t>Toledo</t>
  </si>
  <si>
    <t>Vila Industrial</t>
  </si>
  <si>
    <t>Guaíra</t>
  </si>
  <si>
    <t>Palotina</t>
  </si>
  <si>
    <t>Santa Tereza do Oeste</t>
  </si>
  <si>
    <t>Dois Vizinhos</t>
  </si>
  <si>
    <t>Jardim Marcante</t>
  </si>
  <si>
    <t>Sagrada Família</t>
  </si>
  <si>
    <t>Francisco Beltrão</t>
  </si>
  <si>
    <t>Capanema</t>
  </si>
  <si>
    <t>São José Operário</t>
  </si>
  <si>
    <t>Realeza</t>
  </si>
  <si>
    <t>Manguerinha</t>
  </si>
  <si>
    <t>Alvorada</t>
  </si>
  <si>
    <t>Parque Verde</t>
  </si>
  <si>
    <t>Pitanga</t>
  </si>
  <si>
    <t xml:space="preserve">BWC Químico - 01 unidade para cada </t>
  </si>
  <si>
    <t>unidades</t>
  </si>
  <si>
    <t>casas</t>
  </si>
  <si>
    <t>SERVIÇOS</t>
  </si>
  <si>
    <t>TOTAL</t>
  </si>
  <si>
    <t>conjuntos</t>
  </si>
  <si>
    <t>420,00 m2</t>
  </si>
  <si>
    <t>Colônia Maria José</t>
  </si>
  <si>
    <t>43.687 m2</t>
  </si>
  <si>
    <t>Uvaranas</t>
  </si>
  <si>
    <t>Cará-Cará</t>
  </si>
  <si>
    <t>Jardim das Américas</t>
  </si>
  <si>
    <t>Joaquim Távora</t>
  </si>
  <si>
    <t>Casa c/ 02 quartos</t>
  </si>
  <si>
    <t>Jardim Novo Horizonte</t>
  </si>
  <si>
    <t>Imbaú</t>
  </si>
  <si>
    <t>Wenceslau Braz</t>
  </si>
  <si>
    <t>Jardim Morumbi</t>
  </si>
  <si>
    <t>Jardim Menegazzo</t>
  </si>
  <si>
    <t>Jardim Garcas</t>
  </si>
  <si>
    <t>Conjunto Floresta</t>
  </si>
  <si>
    <t>Jardim São Paulo II</t>
  </si>
  <si>
    <t>Zona 01</t>
  </si>
  <si>
    <t>Jardim Gralha Azul</t>
  </si>
  <si>
    <t>Zona 02</t>
  </si>
  <si>
    <t>Fag</t>
  </si>
  <si>
    <t>Rua Haiti</t>
  </si>
  <si>
    <t>Parque Presidente</t>
  </si>
  <si>
    <t>Bairro Industrial</t>
  </si>
  <si>
    <t>Bairro Água Branca</t>
  </si>
  <si>
    <t>Miniguaçú</t>
  </si>
  <si>
    <t>Santa Terezinha</t>
  </si>
  <si>
    <t>m3</t>
  </si>
  <si>
    <t>BDI (XX,XX%)</t>
  </si>
  <si>
    <r>
      <t xml:space="preserve">Escritório -12,00 m compr. - </t>
    </r>
    <r>
      <rPr>
        <b/>
        <sz val="8"/>
        <color rgb="FF00B050"/>
        <rFont val="Arial"/>
        <family val="2"/>
      </rPr>
      <t>container duplo</t>
    </r>
    <r>
      <rPr>
        <sz val="8"/>
        <color rgb="FF00B050"/>
        <rFont val="Arial"/>
        <family val="2"/>
      </rPr>
      <t xml:space="preserve"> de 20' (6,00x2,40x 2,30 m) c/ janelas e BWC</t>
    </r>
  </si>
  <si>
    <t>Vestiário - container 20' (6,00x2,40x2,30 m)</t>
  </si>
  <si>
    <t>Sanitário - container 20' (6,00x2,40x2,30 m) (mínimo c/ 03 vasos sanitários e 03 pontos p/ chuveiros e 03 lavatórios ou calha lavatório)</t>
  </si>
  <si>
    <t>Total</t>
  </si>
  <si>
    <t>Serviços</t>
  </si>
  <si>
    <t>(Considerar mínimo de 02 unidades - masculino e feminino)</t>
  </si>
  <si>
    <t>SINAPI-PR (IBGE)</t>
  </si>
  <si>
    <t>Sistema Nacional de Pesquisa de Custos e Índices da Construção Civil</t>
  </si>
  <si>
    <t>Efetua a produção de custos e índices da construção civil, a partir do levantamento de preços de materiais e salários pagos na construção civil, para o setor habitação. A partir de 1997 ocorreu a ampliação do Sistema, que passou a abranger o setor de saneamento e infra-estrutura. Tem como unidade de coleta os fornecedores de materiais de construção e empresas construtoras do setor. O Sistema é produzido em convênio com a Caixa Econômica Federal - CAIXA. Para os dados sobre saneamento e infra-estrutura estão disponíveis somente os relativos a preços. A pesquisa foi iniciada em 1969 para o setor de habitação e em 1997, para o de saneamento e infra-estrutura</t>
  </si>
  <si>
    <t>Desoneração da folha de pagamento</t>
  </si>
  <si>
    <t>A desoneração regulamentada através da Medida Provisória nº 601, de 28 de dezembro de 2012, tratando do cálculo dos encargos sociais, retirou os 20% relativos à contribuição previdenciária incidente sobre a folha de pagamento dos empreendimentos. Em complementação, a Medida Provisória n° 612, de 02 de abril de 2013, determinou que a desoneração se aplica apenas às obras novas, a partir de 1° de abril de 2013, e é por esta razão que o IBGE passa a divulgar as duas séries de índices.</t>
  </si>
  <si>
    <t>Mês</t>
  </si>
  <si>
    <t>(R$) m2</t>
  </si>
  <si>
    <t>No mês (%)</t>
  </si>
  <si>
    <t>No ano (%)</t>
  </si>
  <si>
    <t>12 meses (%)</t>
  </si>
  <si>
    <t>Fonte: IBGE</t>
  </si>
  <si>
    <t>SINAPI - Paraná (DESONERADO)</t>
  </si>
  <si>
    <t>Clique aqui para visualizar a pesquisa completa</t>
  </si>
  <si>
    <t>Próxima divulgação conforme calendário do IBGE: 09/10/2025</t>
  </si>
  <si>
    <r>
      <t xml:space="preserve">FONTE                          Data Base: </t>
    </r>
    <r>
      <rPr>
        <b/>
        <u/>
        <sz val="8"/>
        <rFont val="Arial"/>
        <family val="2"/>
      </rPr>
      <t>31/08/2025</t>
    </r>
  </si>
  <si>
    <t>Figura 1 - Recorte (Relação da Classificação Nacional de Atividades Econômicas - CNAE com correspondente Grau de Risco - GR para fins de dimensionamento do SESMT)</t>
  </si>
  <si>
    <t>Fonte: NR-04</t>
  </si>
  <si>
    <t>Figura 2 – Recorte (Dimensionamento dos SESMT)</t>
  </si>
  <si>
    <t>Área de recreação/vivência em tenda piramidal (01un) / mesas (06un) e banquetas (20un)</t>
  </si>
  <si>
    <t xml:space="preserve">Localização </t>
  </si>
  <si>
    <t>3600,00 m2</t>
  </si>
  <si>
    <t>1440,00 m2</t>
  </si>
  <si>
    <t>Bairro Sítio Cercado</t>
  </si>
  <si>
    <t>2.346,00 m2</t>
  </si>
  <si>
    <t>754,00 m2</t>
  </si>
  <si>
    <t>3.510,00 m2</t>
  </si>
  <si>
    <t>561,00 m2</t>
  </si>
  <si>
    <t>1.300,00 m2</t>
  </si>
  <si>
    <t>Centro Industrial Mauá</t>
  </si>
  <si>
    <t>4.784,00 m2</t>
  </si>
  <si>
    <t>Bairro São Dimas</t>
  </si>
  <si>
    <t>Bairro Palmital</t>
  </si>
  <si>
    <t>250,00 m2</t>
  </si>
  <si>
    <t>864,00 m2</t>
  </si>
  <si>
    <t>Bairro Vila São Cristóvão</t>
  </si>
  <si>
    <t>607,00 m2</t>
  </si>
  <si>
    <t>Bairro Jardim Bela Vista</t>
  </si>
  <si>
    <t>4.812,00 m2</t>
  </si>
  <si>
    <t>Bairro Jardim Santa Mônica</t>
  </si>
  <si>
    <t>636,00 m2</t>
  </si>
  <si>
    <t>Bairro Gralha Azul</t>
  </si>
  <si>
    <t>2.340,00 m2</t>
  </si>
  <si>
    <t>640,00 m2</t>
  </si>
  <si>
    <t>Pontal do Paraná - Canoas</t>
  </si>
  <si>
    <t>772,00 m2</t>
  </si>
  <si>
    <t>Bairro Boneca do Iguaçu</t>
  </si>
  <si>
    <t>6.070,50 m2</t>
  </si>
  <si>
    <t>20.750,00 m2</t>
  </si>
  <si>
    <t>Bairro Campo Largo da Roseira</t>
  </si>
  <si>
    <t>33.959,00 m2</t>
  </si>
  <si>
    <t>Bairro São Marcos</t>
  </si>
  <si>
    <t>192,78 m2</t>
  </si>
  <si>
    <t>Bairro Dona Mercedes</t>
  </si>
  <si>
    <t>Bairro Nossa Senhora da Salete</t>
  </si>
  <si>
    <t>378,00 m2</t>
  </si>
  <si>
    <t>Bairro São Sebastião</t>
  </si>
  <si>
    <t>Bairro Bockmann</t>
  </si>
  <si>
    <t>373,00 m2</t>
  </si>
  <si>
    <t>Bairro Jardim Ouro Fino</t>
  </si>
  <si>
    <t>Bairro Parque Agari</t>
  </si>
  <si>
    <t>Vila São Cristóvão</t>
  </si>
  <si>
    <t>2.100,00m2</t>
  </si>
  <si>
    <t>548,00m2</t>
  </si>
  <si>
    <t>495,00 m2</t>
  </si>
  <si>
    <t>483,00 m2</t>
  </si>
  <si>
    <t>1.371,00 m2</t>
  </si>
  <si>
    <t>Bairro Santa Cruz</t>
  </si>
  <si>
    <t>Bairro Primavera</t>
  </si>
  <si>
    <t>2.000,00 m2</t>
  </si>
  <si>
    <t>Bairro Trianon</t>
  </si>
  <si>
    <t>Bairro Batel</t>
  </si>
  <si>
    <t>1.000,00 m2</t>
  </si>
  <si>
    <t>Bairro Morro Alto</t>
  </si>
  <si>
    <t>Bairro Vila Bela</t>
  </si>
  <si>
    <t>Bairro São Cristóvão</t>
  </si>
  <si>
    <t>Bairro Jardim das Américas</t>
  </si>
  <si>
    <t>6.000,00 m2</t>
  </si>
  <si>
    <t>Bairro Alto da XV</t>
  </si>
  <si>
    <t>5.000,00 m2</t>
  </si>
  <si>
    <t>760,00 m2</t>
  </si>
  <si>
    <t>3.600,00 m2</t>
  </si>
  <si>
    <t>552,00 m2</t>
  </si>
  <si>
    <t>580,00 m2</t>
  </si>
  <si>
    <t>Jardim Califórnia</t>
  </si>
  <si>
    <t>Fósforo</t>
  </si>
  <si>
    <t>Jardim Dona Maria</t>
  </si>
  <si>
    <t>San Fernando</t>
  </si>
  <si>
    <t>Llindóia</t>
  </si>
  <si>
    <t>9.400,00 m2</t>
  </si>
  <si>
    <t>Jardim Tókio</t>
  </si>
  <si>
    <t>Jardim Marissol</t>
  </si>
  <si>
    <t>Ouro Branco</t>
  </si>
  <si>
    <t>Terra Bonita</t>
  </si>
  <si>
    <t>Armindo Guazzi</t>
  </si>
  <si>
    <t>700,00 m2</t>
  </si>
  <si>
    <t>Jardim Guararapes</t>
  </si>
  <si>
    <t>Jardim Baggio</t>
  </si>
  <si>
    <t>Jardim Colorado</t>
  </si>
  <si>
    <t>Jardim Caviúna</t>
  </si>
  <si>
    <t>Jardim Roland Garden</t>
  </si>
  <si>
    <t>Cidade Alta</t>
  </si>
  <si>
    <t>Bairro Barbosa</t>
  </si>
  <si>
    <t>Bairro Ambiental</t>
  </si>
  <si>
    <t>Portal das Nações</t>
  </si>
  <si>
    <t>Bairro Getúlio Vargas</t>
  </si>
  <si>
    <t>Jardim Santo Antônio</t>
  </si>
  <si>
    <t>Jardim Baroneza</t>
  </si>
  <si>
    <t>Jardim Presidente Kennedy</t>
  </si>
  <si>
    <t>360,00 m2</t>
  </si>
  <si>
    <t>Jardim Tibagi</t>
  </si>
  <si>
    <t>Vila Nossa Senhora da Aparecida</t>
  </si>
  <si>
    <t>Bairro Bela Vista</t>
  </si>
  <si>
    <t>Bairro Jardim São Silvestre</t>
  </si>
  <si>
    <t>Parque Tarumã</t>
  </si>
  <si>
    <t>1.153,00 m2</t>
  </si>
  <si>
    <t>Jardim dos Passaros</t>
  </si>
  <si>
    <t>Parque das Laranjeiras</t>
  </si>
  <si>
    <t>300,00m2</t>
  </si>
  <si>
    <t>Parque das Grevileans</t>
  </si>
  <si>
    <t>Jardim Paraiso</t>
  </si>
  <si>
    <t>209,00m2</t>
  </si>
  <si>
    <t>797,00m2</t>
  </si>
  <si>
    <t>Jardim Oriental</t>
  </si>
  <si>
    <t>878,00m2</t>
  </si>
  <si>
    <t>840,00m2</t>
  </si>
  <si>
    <t>Parque Bonfim</t>
  </si>
  <si>
    <t>870,00M2</t>
  </si>
  <si>
    <t>Jardim Janina</t>
  </si>
  <si>
    <t>Parque Residencial Tokio</t>
  </si>
  <si>
    <t>950,00m2</t>
  </si>
  <si>
    <t>Jardim Paineiras</t>
  </si>
  <si>
    <t>3.189,00m2</t>
  </si>
  <si>
    <t>4.6000,00m2</t>
  </si>
  <si>
    <t>347,00m2</t>
  </si>
  <si>
    <t>Jardim Ouro Verde III</t>
  </si>
  <si>
    <t>Jardim Eldorado</t>
  </si>
  <si>
    <t>343,00m2</t>
  </si>
  <si>
    <t>Parque Itália</t>
  </si>
  <si>
    <t>Jardim São Pedro</t>
  </si>
  <si>
    <t>182,00m2</t>
  </si>
  <si>
    <t>3.000,00m2</t>
  </si>
  <si>
    <t>Jardim Ouro Branco</t>
  </si>
  <si>
    <t>870,00m2</t>
  </si>
  <si>
    <t>Jardim Santos Dumont</t>
  </si>
  <si>
    <t>340,00m2</t>
  </si>
  <si>
    <t>250,00m2</t>
  </si>
  <si>
    <t xml:space="preserve"> </t>
  </si>
  <si>
    <t>14 de Novembro</t>
  </si>
  <si>
    <t>Cancelli</t>
  </si>
  <si>
    <t>360,00m2</t>
  </si>
  <si>
    <t>Pioneiros Catarinenses</t>
  </si>
  <si>
    <t>700,00m2</t>
  </si>
  <si>
    <t>Periolo</t>
  </si>
  <si>
    <t>400,00m2</t>
  </si>
  <si>
    <t xml:space="preserve">Country </t>
  </si>
  <si>
    <t>373,00m2</t>
  </si>
  <si>
    <t>1.991,00m2</t>
  </si>
  <si>
    <t>Jardim Panorama II</t>
  </si>
  <si>
    <t>750,00m2</t>
  </si>
  <si>
    <t>Jardim La Salle</t>
  </si>
  <si>
    <t>2.000,00m2</t>
  </si>
  <si>
    <t>Jardim Pancera</t>
  </si>
  <si>
    <t xml:space="preserve">Jardim Panorama </t>
  </si>
  <si>
    <t>419,00m2</t>
  </si>
  <si>
    <t>Rua Rio Grande do Norte</t>
  </si>
  <si>
    <t>Bairro União</t>
  </si>
  <si>
    <t>Jardim Universitário</t>
  </si>
  <si>
    <t>Jardim Polo Centro</t>
  </si>
  <si>
    <t>455,00m2</t>
  </si>
  <si>
    <t>Itaipu A</t>
  </si>
  <si>
    <t>Jardim Itamaraty</t>
  </si>
  <si>
    <t>525,00m2</t>
  </si>
  <si>
    <t>Bairro Itália</t>
  </si>
  <si>
    <t>450,00m2</t>
  </si>
  <si>
    <t>Rua Loureço Zanella</t>
  </si>
  <si>
    <t>c/ 02 quartos</t>
  </si>
  <si>
    <t>Bairro Alvorada</t>
  </si>
  <si>
    <t>6.182,23m2</t>
  </si>
  <si>
    <t>363,40m2</t>
  </si>
  <si>
    <t>1.090,00m2</t>
  </si>
  <si>
    <t>Bairro Sadia</t>
  </si>
  <si>
    <t>320,00m2</t>
  </si>
  <si>
    <t>Fraron</t>
  </si>
  <si>
    <t>470,00m2</t>
  </si>
  <si>
    <t>Santo Antônio</t>
  </si>
  <si>
    <t>944,62m3</t>
  </si>
  <si>
    <t>Sanitário provisório em madeira</t>
  </si>
  <si>
    <t>Vestiário provisório em madeira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</si>
</sst>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R$&quot;* #,##0.00_-;\-&quot;R$&quot;* #,##0.00_-;_-&quot;R$&quot;* &quot;-&quot;??_-;_-@_-"/>
    <numFmt numFmtId="165" formatCode="&quot;f=&quot;0.00"/>
    <numFmt numFmtId="166" formatCode="#,##0.00;[Red]#,##0.00"/>
    <numFmt numFmtId="167" formatCode="00"/>
  </numFmts>
  <fonts count="37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b/>
      <u/>
      <sz val="15"/>
      <name val="Arial"/>
      <family val="2"/>
    </font>
    <font>
      <sz val="9"/>
      <color rgb="FF000000"/>
      <name val="Arial"/>
      <family val="2"/>
    </font>
    <font>
      <b/>
      <sz val="9"/>
      <color theme="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8"/>
      <color rgb="FFFF0000"/>
      <name val="Arial"/>
      <family val="2"/>
    </font>
    <font>
      <sz val="8"/>
      <color theme="9" tint="-0.249977111117893"/>
      <name val="Arial"/>
      <family val="2"/>
    </font>
    <font>
      <sz val="8"/>
      <color rgb="FF00B050"/>
      <name val="Arial"/>
      <family val="2"/>
    </font>
    <font>
      <sz val="8"/>
      <color rgb="FF1E824C"/>
      <name val="Arial"/>
      <family val="2"/>
    </font>
    <font>
      <sz val="10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0000"/>
      <name val="Arial"/>
      <family val="2"/>
    </font>
    <font>
      <b/>
      <sz val="8"/>
      <color rgb="FFFF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8"/>
      <color theme="0" tint="-0.34998626667073579"/>
      <name val="Arial"/>
      <family val="2"/>
    </font>
    <font>
      <sz val="9"/>
      <color rgb="FF00B050"/>
      <name val="Arial"/>
      <family val="2"/>
    </font>
    <font>
      <b/>
      <sz val="9"/>
      <color rgb="FF00B050"/>
      <name val="Arial"/>
      <family val="2"/>
    </font>
    <font>
      <b/>
      <sz val="8"/>
      <color rgb="FF00B050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000000"/>
      <name val="Times New Roman"/>
      <family val="1"/>
    </font>
    <font>
      <b/>
      <sz val="10"/>
      <color indexed="8"/>
      <name val="Arial"/>
      <family val="2"/>
    </font>
    <font>
      <b/>
      <sz val="10"/>
      <color rgb="FFFF0000"/>
      <name val="Times New Roman"/>
      <family val="1"/>
    </font>
    <font>
      <b/>
      <u/>
      <sz val="8"/>
      <name val="Arial"/>
      <family val="2"/>
    </font>
    <font>
      <b/>
      <sz val="11"/>
      <color rgb="FF000000"/>
      <name val="Times New Roman"/>
      <family val="1"/>
    </font>
    <font>
      <sz val="10"/>
      <name val="Aptos"/>
      <family val="2"/>
    </font>
  </fonts>
  <fills count="1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E824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BA4FE"/>
        <bgColor indexed="64"/>
      </patternFill>
    </fill>
    <fill>
      <patternFill patternType="solid">
        <fgColor rgb="FF89C5E3"/>
        <bgColor indexed="64"/>
      </patternFill>
    </fill>
    <fill>
      <patternFill patternType="solid">
        <fgColor rgb="FFFBABE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</fills>
  <borders count="6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</borders>
  <cellStyleXfs count="2">
    <xf numFmtId="0" fontId="0" fillId="0" borderId="0"/>
    <xf numFmtId="164" fontId="16" fillId="0" borderId="0" applyFont="0" applyFill="0" applyBorder="0" applyAlignment="0" applyProtection="0"/>
  </cellStyleXfs>
  <cellXfs count="311">
    <xf numFmtId="0" fontId="0" fillId="0" borderId="0" xfId="0" applyAlignment="1">
      <alignment horizontal="left" vertical="top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3" borderId="0" xfId="0" applyFont="1" applyFill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/>
    </xf>
    <xf numFmtId="0" fontId="6" fillId="4" borderId="14" xfId="0" applyFont="1" applyFill="1" applyBorder="1" applyAlignment="1">
      <alignment horizontal="center" vertical="top"/>
    </xf>
    <xf numFmtId="0" fontId="5" fillId="0" borderId="14" xfId="0" applyFont="1" applyBorder="1" applyAlignment="1">
      <alignment horizontal="left" vertical="top"/>
    </xf>
    <xf numFmtId="0" fontId="5" fillId="0" borderId="14" xfId="0" applyFont="1" applyBorder="1" applyAlignment="1">
      <alignment horizontal="center" vertical="top"/>
    </xf>
    <xf numFmtId="0" fontId="7" fillId="3" borderId="0" xfId="0" applyFont="1" applyFill="1" applyAlignment="1">
      <alignment horizontal="left" vertical="center"/>
    </xf>
    <xf numFmtId="4" fontId="2" fillId="0" borderId="1" xfId="0" applyNumberFormat="1" applyFont="1" applyBorder="1" applyAlignment="1">
      <alignment horizontal="right" vertical="center" shrinkToFit="1"/>
    </xf>
    <xf numFmtId="4" fontId="3" fillId="0" borderId="1" xfId="0" applyNumberFormat="1" applyFont="1" applyBorder="1" applyAlignment="1">
      <alignment horizontal="right" vertical="center" shrinkToFit="1"/>
    </xf>
    <xf numFmtId="0" fontId="7" fillId="0" borderId="0" xfId="0" applyFont="1" applyAlignment="1">
      <alignment horizontal="left" vertical="center"/>
    </xf>
    <xf numFmtId="0" fontId="3" fillId="3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2" fillId="0" borderId="1" xfId="0" applyNumberFormat="1" applyFont="1" applyBorder="1" applyAlignment="1">
      <alignment horizontal="center" vertical="center" shrinkToFit="1"/>
    </xf>
    <xf numFmtId="2" fontId="5" fillId="0" borderId="14" xfId="0" applyNumberFormat="1" applyFont="1" applyBorder="1" applyAlignment="1">
      <alignment horizontal="center" vertical="top"/>
    </xf>
    <xf numFmtId="4" fontId="3" fillId="0" borderId="1" xfId="0" applyNumberFormat="1" applyFont="1" applyBorder="1" applyAlignment="1">
      <alignment horizontal="center" vertical="center" shrinkToFit="1"/>
    </xf>
    <xf numFmtId="165" fontId="3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shrinkToFit="1"/>
    </xf>
    <xf numFmtId="0" fontId="7" fillId="3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1" fillId="0" borderId="15" xfId="0" applyFont="1" applyBorder="1" applyAlignment="1">
      <alignment horizontal="left" vertical="center" wrapText="1"/>
    </xf>
    <xf numFmtId="0" fontId="11" fillId="5" borderId="16" xfId="0" applyFont="1" applyFill="1" applyBorder="1" applyAlignment="1">
      <alignment horizontal="left" vertical="center" wrapText="1" indent="8"/>
    </xf>
    <xf numFmtId="0" fontId="10" fillId="0" borderId="0" xfId="0" applyFont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16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10" fillId="0" borderId="17" xfId="0" applyFont="1" applyBorder="1" applyAlignment="1">
      <alignment vertical="center" wrapText="1"/>
    </xf>
    <xf numFmtId="0" fontId="11" fillId="5" borderId="16" xfId="0" applyFont="1" applyFill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11" fillId="5" borderId="15" xfId="0" applyFont="1" applyFill="1" applyBorder="1" applyAlignment="1">
      <alignment vertical="center" wrapText="1"/>
    </xf>
    <xf numFmtId="0" fontId="11" fillId="5" borderId="15" xfId="0" applyFont="1" applyFill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right" vertical="center" shrinkToFit="1"/>
    </xf>
    <xf numFmtId="0" fontId="13" fillId="0" borderId="1" xfId="0" applyFont="1" applyBorder="1" applyAlignment="1">
      <alignment horizontal="justify" vertical="center" wrapText="1"/>
    </xf>
    <xf numFmtId="4" fontId="13" fillId="0" borderId="1" xfId="0" applyNumberFormat="1" applyFont="1" applyBorder="1" applyAlignment="1">
      <alignment horizontal="center" vertical="center" shrinkToFit="1"/>
    </xf>
    <xf numFmtId="4" fontId="14" fillId="0" borderId="1" xfId="0" applyNumberFormat="1" applyFont="1" applyBorder="1" applyAlignment="1">
      <alignment horizontal="center" vertical="center" shrinkToFit="1"/>
    </xf>
    <xf numFmtId="0" fontId="15" fillId="0" borderId="1" xfId="0" applyFont="1" applyBorder="1" applyAlignment="1">
      <alignment horizontal="justify" vertical="center" wrapText="1"/>
    </xf>
    <xf numFmtId="4" fontId="15" fillId="0" borderId="1" xfId="0" applyNumberFormat="1" applyFont="1" applyBorder="1" applyAlignment="1">
      <alignment horizontal="center" vertical="center" shrinkToFit="1"/>
    </xf>
    <xf numFmtId="0" fontId="2" fillId="2" borderId="6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center"/>
    </xf>
    <xf numFmtId="0" fontId="0" fillId="0" borderId="0" xfId="0"/>
    <xf numFmtId="0" fontId="2" fillId="2" borderId="2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4" fontId="3" fillId="0" borderId="41" xfId="0" applyNumberFormat="1" applyFont="1" applyBorder="1" applyAlignment="1">
      <alignment horizontal="right" vertical="center" shrinkToFit="1"/>
    </xf>
    <xf numFmtId="0" fontId="21" fillId="3" borderId="0" xfId="0" applyFont="1" applyFill="1" applyAlignment="1">
      <alignment horizontal="left" vertical="center"/>
    </xf>
    <xf numFmtId="0" fontId="22" fillId="3" borderId="0" xfId="0" applyFont="1" applyFill="1" applyAlignment="1">
      <alignment horizontal="left" vertical="center"/>
    </xf>
    <xf numFmtId="0" fontId="22" fillId="3" borderId="0" xfId="0" applyFont="1" applyFill="1" applyAlignment="1">
      <alignment horizontal="center" vertical="center"/>
    </xf>
    <xf numFmtId="4" fontId="23" fillId="0" borderId="1" xfId="0" applyNumberFormat="1" applyFont="1" applyBorder="1" applyAlignment="1">
      <alignment horizontal="right" vertical="center" shrinkToFit="1"/>
    </xf>
    <xf numFmtId="0" fontId="6" fillId="4" borderId="32" xfId="0" applyFont="1" applyFill="1" applyBorder="1" applyAlignment="1">
      <alignment horizontal="center" vertical="top"/>
    </xf>
    <xf numFmtId="4" fontId="5" fillId="0" borderId="14" xfId="0" applyNumberFormat="1" applyFont="1" applyBorder="1" applyAlignment="1">
      <alignment horizontal="right" vertical="top"/>
    </xf>
    <xf numFmtId="4" fontId="6" fillId="7" borderId="0" xfId="0" applyNumberFormat="1" applyFont="1" applyFill="1" applyAlignment="1">
      <alignment horizontal="center" vertical="top"/>
    </xf>
    <xf numFmtId="4" fontId="20" fillId="6" borderId="1" xfId="0" applyNumberFormat="1" applyFont="1" applyFill="1" applyBorder="1" applyAlignment="1">
      <alignment horizontal="center" vertical="center" shrinkToFi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 vertical="top"/>
    </xf>
    <xf numFmtId="0" fontId="24" fillId="0" borderId="0" xfId="0" applyFont="1" applyAlignment="1">
      <alignment horizontal="center" vertical="top"/>
    </xf>
    <xf numFmtId="4" fontId="5" fillId="0" borderId="0" xfId="0" applyNumberFormat="1" applyFont="1" applyAlignment="1">
      <alignment horizontal="right" vertical="top"/>
    </xf>
    <xf numFmtId="167" fontId="19" fillId="6" borderId="0" xfId="0" applyNumberFormat="1" applyFont="1" applyFill="1" applyAlignment="1">
      <alignment horizontal="center" vertical="center"/>
    </xf>
    <xf numFmtId="0" fontId="2" fillId="2" borderId="7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4" xfId="0" applyFont="1" applyBorder="1" applyAlignment="1">
      <alignment vertical="center" wrapText="1"/>
    </xf>
    <xf numFmtId="0" fontId="4" fillId="3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3" fillId="0" borderId="4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justify" vertical="center" wrapText="1"/>
    </xf>
    <xf numFmtId="2" fontId="7" fillId="3" borderId="0" xfId="0" applyNumberFormat="1" applyFont="1" applyFill="1" applyAlignment="1">
      <alignment horizontal="left" vertical="center"/>
    </xf>
    <xf numFmtId="0" fontId="0" fillId="0" borderId="0" xfId="0" applyAlignment="1">
      <alignment horizontal="center" vertical="center"/>
    </xf>
    <xf numFmtId="0" fontId="17" fillId="2" borderId="48" xfId="0" applyFont="1" applyFill="1" applyBorder="1" applyAlignment="1">
      <alignment horizontal="center" vertical="center"/>
    </xf>
    <xf numFmtId="0" fontId="17" fillId="2" borderId="38" xfId="0" applyFont="1" applyFill="1" applyBorder="1" applyAlignment="1">
      <alignment horizontal="center" vertical="center"/>
    </xf>
    <xf numFmtId="4" fontId="17" fillId="2" borderId="38" xfId="1" applyNumberFormat="1" applyFont="1" applyFill="1" applyBorder="1" applyAlignment="1">
      <alignment horizontal="center" vertical="center"/>
    </xf>
    <xf numFmtId="4" fontId="17" fillId="2" borderId="39" xfId="1" applyNumberFormat="1" applyFont="1" applyFill="1" applyBorder="1" applyAlignment="1">
      <alignment horizontal="center" vertical="center"/>
    </xf>
    <xf numFmtId="0" fontId="0" fillId="0" borderId="30" xfId="0" applyBorder="1"/>
    <xf numFmtId="4" fontId="0" fillId="0" borderId="30" xfId="0" applyNumberFormat="1" applyBorder="1"/>
    <xf numFmtId="4" fontId="28" fillId="0" borderId="30" xfId="0" applyNumberFormat="1" applyFont="1" applyBorder="1"/>
    <xf numFmtId="4" fontId="28" fillId="0" borderId="30" xfId="0" applyNumberFormat="1" applyFont="1" applyBorder="1" applyAlignment="1">
      <alignment horizontal="center"/>
    </xf>
    <xf numFmtId="0" fontId="0" fillId="0" borderId="31" xfId="0" applyBorder="1"/>
    <xf numFmtId="4" fontId="0" fillId="0" borderId="31" xfId="0" applyNumberFormat="1" applyBorder="1"/>
    <xf numFmtId="4" fontId="28" fillId="0" borderId="31" xfId="0" applyNumberFormat="1" applyFont="1" applyBorder="1" applyAlignment="1">
      <alignment horizontal="center"/>
    </xf>
    <xf numFmtId="4" fontId="28" fillId="0" borderId="31" xfId="0" applyNumberFormat="1" applyFont="1" applyBorder="1"/>
    <xf numFmtId="0" fontId="0" fillId="0" borderId="33" xfId="0" applyBorder="1"/>
    <xf numFmtId="4" fontId="0" fillId="0" borderId="33" xfId="0" applyNumberFormat="1" applyBorder="1"/>
    <xf numFmtId="4" fontId="28" fillId="0" borderId="33" xfId="0" applyNumberFormat="1" applyFont="1" applyBorder="1"/>
    <xf numFmtId="4" fontId="28" fillId="0" borderId="33" xfId="0" applyNumberFormat="1" applyFont="1" applyBorder="1" applyAlignment="1">
      <alignment horizontal="center"/>
    </xf>
    <xf numFmtId="0" fontId="28" fillId="0" borderId="32" xfId="0" applyFont="1" applyBorder="1"/>
    <xf numFmtId="4" fontId="0" fillId="0" borderId="31" xfId="0" applyNumberFormat="1" applyBorder="1" applyAlignment="1">
      <alignment horizontal="center"/>
    </xf>
    <xf numFmtId="0" fontId="0" fillId="0" borderId="32" xfId="0" applyBorder="1"/>
    <xf numFmtId="4" fontId="0" fillId="0" borderId="32" xfId="0" applyNumberFormat="1" applyBorder="1"/>
    <xf numFmtId="4" fontId="0" fillId="0" borderId="32" xfId="0" applyNumberFormat="1" applyBorder="1" applyAlignment="1">
      <alignment horizontal="center"/>
    </xf>
    <xf numFmtId="4" fontId="29" fillId="0" borderId="31" xfId="0" applyNumberFormat="1" applyFont="1" applyBorder="1"/>
    <xf numFmtId="0" fontId="28" fillId="0" borderId="31" xfId="0" applyFont="1" applyBorder="1"/>
    <xf numFmtId="4" fontId="27" fillId="0" borderId="32" xfId="0" applyNumberFormat="1" applyFont="1" applyBorder="1"/>
    <xf numFmtId="4" fontId="28" fillId="0" borderId="32" xfId="0" applyNumberFormat="1" applyFont="1" applyBorder="1" applyAlignment="1">
      <alignment horizontal="center"/>
    </xf>
    <xf numFmtId="4" fontId="27" fillId="0" borderId="31" xfId="0" applyNumberFormat="1" applyFont="1" applyBorder="1"/>
    <xf numFmtId="4" fontId="27" fillId="0" borderId="31" xfId="0" applyNumberFormat="1" applyFont="1" applyBorder="1" applyAlignment="1">
      <alignment horizontal="center"/>
    </xf>
    <xf numFmtId="4" fontId="27" fillId="0" borderId="29" xfId="0" applyNumberFormat="1" applyFont="1" applyBorder="1" applyAlignment="1">
      <alignment horizontal="right"/>
    </xf>
    <xf numFmtId="0" fontId="27" fillId="0" borderId="33" xfId="0" applyFont="1" applyBorder="1"/>
    <xf numFmtId="0" fontId="28" fillId="0" borderId="33" xfId="0" applyFont="1" applyBorder="1"/>
    <xf numFmtId="4" fontId="27" fillId="0" borderId="33" xfId="0" applyNumberFormat="1" applyFont="1" applyBorder="1"/>
    <xf numFmtId="4" fontId="27" fillId="0" borderId="33" xfId="0" applyNumberFormat="1" applyFont="1" applyBorder="1" applyAlignment="1">
      <alignment horizontal="center"/>
    </xf>
    <xf numFmtId="4" fontId="27" fillId="0" borderId="50" xfId="0" applyNumberFormat="1" applyFont="1" applyBorder="1" applyAlignment="1">
      <alignment horizontal="right"/>
    </xf>
    <xf numFmtId="0" fontId="27" fillId="0" borderId="31" xfId="0" applyFont="1" applyBorder="1"/>
    <xf numFmtId="4" fontId="0" fillId="0" borderId="33" xfId="0" applyNumberFormat="1" applyBorder="1" applyAlignment="1">
      <alignment horizontal="center"/>
    </xf>
    <xf numFmtId="166" fontId="18" fillId="6" borderId="24" xfId="1" applyNumberFormat="1" applyFont="1" applyFill="1" applyBorder="1" applyAlignment="1">
      <alignment horizontal="center" vertical="center"/>
    </xf>
    <xf numFmtId="4" fontId="0" fillId="6" borderId="24" xfId="0" applyNumberFormat="1" applyFill="1" applyBorder="1" applyAlignment="1">
      <alignment horizontal="center"/>
    </xf>
    <xf numFmtId="166" fontId="18" fillId="8" borderId="24" xfId="1" applyNumberFormat="1" applyFont="1" applyFill="1" applyBorder="1" applyAlignment="1">
      <alignment horizontal="center" vertical="center"/>
    </xf>
    <xf numFmtId="4" fontId="0" fillId="8" borderId="24" xfId="0" applyNumberFormat="1" applyFill="1" applyBorder="1"/>
    <xf numFmtId="4" fontId="0" fillId="8" borderId="24" xfId="0" applyNumberFormat="1" applyFill="1" applyBorder="1" applyAlignment="1">
      <alignment horizontal="center"/>
    </xf>
    <xf numFmtId="166" fontId="18" fillId="8" borderId="25" xfId="1" applyNumberFormat="1" applyFont="1" applyFill="1" applyBorder="1" applyAlignment="1">
      <alignment horizontal="center" vertical="center"/>
    </xf>
    <xf numFmtId="166" fontId="18" fillId="9" borderId="24" xfId="1" applyNumberFormat="1" applyFont="1" applyFill="1" applyBorder="1" applyAlignment="1">
      <alignment horizontal="center" vertical="center"/>
    </xf>
    <xf numFmtId="166" fontId="18" fillId="9" borderId="25" xfId="1" applyNumberFormat="1" applyFont="1" applyFill="1" applyBorder="1" applyAlignment="1">
      <alignment horizontal="center" vertical="center"/>
    </xf>
    <xf numFmtId="4" fontId="27" fillId="0" borderId="35" xfId="0" applyNumberFormat="1" applyFont="1" applyBorder="1" applyAlignment="1">
      <alignment horizontal="right"/>
    </xf>
    <xf numFmtId="166" fontId="18" fillId="10" borderId="24" xfId="1" applyNumberFormat="1" applyFont="1" applyFill="1" applyBorder="1" applyAlignment="1">
      <alignment horizontal="center" vertical="center"/>
    </xf>
    <xf numFmtId="166" fontId="18" fillId="10" borderId="25" xfId="1" applyNumberFormat="1" applyFont="1" applyFill="1" applyBorder="1" applyAlignment="1">
      <alignment horizontal="center" vertical="center"/>
    </xf>
    <xf numFmtId="166" fontId="18" fillId="11" borderId="24" xfId="1" applyNumberFormat="1" applyFont="1" applyFill="1" applyBorder="1" applyAlignment="1">
      <alignment horizontal="center" vertical="center"/>
    </xf>
    <xf numFmtId="4" fontId="0" fillId="11" borderId="24" xfId="0" applyNumberFormat="1" applyFill="1" applyBorder="1"/>
    <xf numFmtId="4" fontId="0" fillId="11" borderId="24" xfId="0" applyNumberFormat="1" applyFill="1" applyBorder="1" applyAlignment="1">
      <alignment horizontal="center"/>
    </xf>
    <xf numFmtId="166" fontId="18" fillId="11" borderId="25" xfId="1" applyNumberFormat="1" applyFont="1" applyFill="1" applyBorder="1" applyAlignment="1">
      <alignment horizontal="center" vertical="center"/>
    </xf>
    <xf numFmtId="4" fontId="0" fillId="0" borderId="0" xfId="0" applyNumberFormat="1"/>
    <xf numFmtId="4" fontId="0" fillId="0" borderId="0" xfId="0" applyNumberFormat="1" applyAlignment="1">
      <alignment horizontal="center"/>
    </xf>
    <xf numFmtId="0" fontId="17" fillId="2" borderId="56" xfId="0" applyFont="1" applyFill="1" applyBorder="1" applyAlignment="1">
      <alignment horizontal="center" vertical="center"/>
    </xf>
    <xf numFmtId="166" fontId="17" fillId="2" borderId="56" xfId="1" applyNumberFormat="1" applyFont="1" applyFill="1" applyBorder="1" applyAlignment="1">
      <alignment horizontal="right" vertical="center"/>
    </xf>
    <xf numFmtId="166" fontId="17" fillId="2" borderId="24" xfId="1" applyNumberFormat="1" applyFont="1" applyFill="1" applyBorder="1" applyAlignment="1">
      <alignment horizontal="right" vertical="center"/>
    </xf>
    <xf numFmtId="4" fontId="12" fillId="12" borderId="1" xfId="0" applyNumberFormat="1" applyFont="1" applyFill="1" applyBorder="1" applyAlignment="1">
      <alignment horizontal="center" vertical="center" shrinkToFit="1"/>
    </xf>
    <xf numFmtId="4" fontId="13" fillId="0" borderId="1" xfId="0" applyNumberFormat="1" applyFont="1" applyFill="1" applyBorder="1" applyAlignment="1">
      <alignment horizontal="center" vertical="center" shrinkToFit="1"/>
    </xf>
    <xf numFmtId="4" fontId="14" fillId="0" borderId="1" xfId="0" applyNumberFormat="1" applyFont="1" applyFill="1" applyBorder="1" applyAlignment="1">
      <alignment horizontal="center" vertical="center" shrinkToFit="1"/>
    </xf>
    <xf numFmtId="0" fontId="2" fillId="2" borderId="2" xfId="0" applyFont="1" applyFill="1" applyBorder="1" applyAlignment="1">
      <alignment horizontal="center" vertical="center" wrapText="1"/>
    </xf>
    <xf numFmtId="0" fontId="0" fillId="6" borderId="0" xfId="0" applyFill="1" applyAlignment="1">
      <alignment horizontal="center" vertical="top"/>
    </xf>
    <xf numFmtId="0" fontId="0" fillId="0" borderId="0" xfId="0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1" xfId="0" applyBorder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top"/>
    </xf>
    <xf numFmtId="0" fontId="0" fillId="0" borderId="20" xfId="0" applyBorder="1" applyAlignment="1">
      <alignment horizontal="center" vertical="top"/>
    </xf>
    <xf numFmtId="0" fontId="0" fillId="0" borderId="22" xfId="0" applyBorder="1" applyAlignment="1">
      <alignment horizontal="center" vertical="top"/>
    </xf>
    <xf numFmtId="4" fontId="30" fillId="0" borderId="0" xfId="0" applyNumberFormat="1" applyFont="1"/>
    <xf numFmtId="4" fontId="30" fillId="0" borderId="0" xfId="0" applyNumberFormat="1" applyFont="1" applyAlignment="1">
      <alignment horizontal="center"/>
    </xf>
    <xf numFmtId="4" fontId="22" fillId="0" borderId="30" xfId="0" applyNumberFormat="1" applyFont="1" applyBorder="1"/>
    <xf numFmtId="4" fontId="22" fillId="0" borderId="31" xfId="0" applyNumberFormat="1" applyFont="1" applyBorder="1"/>
    <xf numFmtId="4" fontId="30" fillId="0" borderId="33" xfId="0" applyNumberFormat="1" applyFont="1" applyBorder="1"/>
    <xf numFmtId="4" fontId="22" fillId="0" borderId="29" xfId="0" applyNumberFormat="1" applyFont="1" applyBorder="1" applyAlignment="1">
      <alignment horizontal="right"/>
    </xf>
    <xf numFmtId="4" fontId="7" fillId="0" borderId="31" xfId="0" applyNumberFormat="1" applyFont="1" applyBorder="1" applyAlignment="1">
      <alignment horizontal="center"/>
    </xf>
    <xf numFmtId="4" fontId="30" fillId="0" borderId="31" xfId="0" applyNumberFormat="1" applyFont="1" applyBorder="1"/>
    <xf numFmtId="4" fontId="30" fillId="0" borderId="29" xfId="0" applyNumberFormat="1" applyFont="1" applyBorder="1" applyAlignment="1">
      <alignment horizontal="right"/>
    </xf>
    <xf numFmtId="4" fontId="22" fillId="0" borderId="32" xfId="0" applyNumberFormat="1" applyFont="1" applyBorder="1"/>
    <xf numFmtId="4" fontId="22" fillId="0" borderId="35" xfId="0" applyNumberFormat="1" applyFont="1" applyBorder="1" applyAlignment="1">
      <alignment horizontal="right"/>
    </xf>
    <xf numFmtId="0" fontId="0" fillId="0" borderId="36" xfId="0" applyBorder="1"/>
    <xf numFmtId="0" fontId="28" fillId="0" borderId="55" xfId="0" applyFont="1" applyBorder="1"/>
    <xf numFmtId="4" fontId="30" fillId="0" borderId="35" xfId="0" applyNumberFormat="1" applyFont="1" applyBorder="1" applyAlignment="1">
      <alignment horizontal="right"/>
    </xf>
    <xf numFmtId="0" fontId="0" fillId="0" borderId="34" xfId="0" applyBorder="1"/>
    <xf numFmtId="0" fontId="28" fillId="0" borderId="28" xfId="0" applyFont="1" applyBorder="1"/>
    <xf numFmtId="0" fontId="0" fillId="0" borderId="28" xfId="0" applyBorder="1"/>
    <xf numFmtId="4" fontId="30" fillId="0" borderId="32" xfId="0" applyNumberFormat="1" applyFont="1" applyBorder="1"/>
    <xf numFmtId="4" fontId="7" fillId="0" borderId="32" xfId="0" applyNumberFormat="1" applyFont="1" applyBorder="1" applyAlignment="1">
      <alignment horizontal="center"/>
    </xf>
    <xf numFmtId="0" fontId="28" fillId="0" borderId="34" xfId="0" applyFont="1" applyBorder="1"/>
    <xf numFmtId="0" fontId="28" fillId="0" borderId="57" xfId="0" applyFont="1" applyBorder="1"/>
    <xf numFmtId="0" fontId="7" fillId="0" borderId="31" xfId="0" applyFont="1" applyBorder="1"/>
    <xf numFmtId="4" fontId="30" fillId="0" borderId="50" xfId="0" applyNumberFormat="1" applyFont="1" applyBorder="1" applyAlignment="1">
      <alignment horizontal="right"/>
    </xf>
    <xf numFmtId="4" fontId="7" fillId="0" borderId="30" xfId="0" applyNumberFormat="1" applyFont="1" applyBorder="1" applyAlignment="1">
      <alignment horizontal="center"/>
    </xf>
    <xf numFmtId="4" fontId="22" fillId="0" borderId="49" xfId="0" applyNumberFormat="1" applyFont="1" applyBorder="1" applyAlignment="1">
      <alignment horizontal="right"/>
    </xf>
    <xf numFmtId="4" fontId="7" fillId="0" borderId="33" xfId="0" applyNumberFormat="1" applyFont="1" applyBorder="1" applyAlignment="1">
      <alignment horizontal="center"/>
    </xf>
    <xf numFmtId="4" fontId="22" fillId="0" borderId="50" xfId="0" applyNumberFormat="1" applyFont="1" applyBorder="1" applyAlignment="1">
      <alignment horizontal="right"/>
    </xf>
    <xf numFmtId="4" fontId="0" fillId="0" borderId="14" xfId="0" applyNumberFormat="1" applyBorder="1"/>
    <xf numFmtId="4" fontId="7" fillId="0" borderId="31" xfId="0" applyNumberFormat="1" applyFont="1" applyBorder="1"/>
    <xf numFmtId="0" fontId="7" fillId="0" borderId="33" xfId="0" applyFont="1" applyBorder="1"/>
    <xf numFmtId="4" fontId="22" fillId="0" borderId="33" xfId="0" applyNumberFormat="1" applyFont="1" applyBorder="1"/>
    <xf numFmtId="0" fontId="0" fillId="0" borderId="40" xfId="0" applyBorder="1"/>
    <xf numFmtId="4" fontId="30" fillId="0" borderId="40" xfId="0" applyNumberFormat="1" applyFont="1" applyBorder="1"/>
    <xf numFmtId="4" fontId="0" fillId="0" borderId="40" xfId="0" applyNumberFormat="1" applyBorder="1"/>
    <xf numFmtId="4" fontId="0" fillId="0" borderId="40" xfId="0" applyNumberFormat="1" applyBorder="1" applyAlignment="1">
      <alignment horizontal="center"/>
    </xf>
    <xf numFmtId="4" fontId="30" fillId="0" borderId="53" xfId="0" applyNumberFormat="1" applyFont="1" applyBorder="1" applyAlignment="1">
      <alignment horizontal="right"/>
    </xf>
    <xf numFmtId="4" fontId="0" fillId="9" borderId="24" xfId="0" applyNumberFormat="1" applyFill="1" applyBorder="1"/>
    <xf numFmtId="4" fontId="0" fillId="9" borderId="24" xfId="0" applyNumberFormat="1" applyFill="1" applyBorder="1" applyAlignment="1">
      <alignment horizontal="center"/>
    </xf>
    <xf numFmtId="0" fontId="7" fillId="0" borderId="30" xfId="0" applyFont="1" applyBorder="1"/>
    <xf numFmtId="0" fontId="7" fillId="0" borderId="32" xfId="0" applyFont="1" applyBorder="1"/>
    <xf numFmtId="4" fontId="22" fillId="0" borderId="35" xfId="0" applyNumberFormat="1" applyFont="1" applyBorder="1"/>
    <xf numFmtId="4" fontId="30" fillId="0" borderId="29" xfId="0" applyNumberFormat="1" applyFont="1" applyBorder="1"/>
    <xf numFmtId="4" fontId="7" fillId="0" borderId="32" xfId="0" applyNumberFormat="1" applyFont="1" applyBorder="1"/>
    <xf numFmtId="4" fontId="22" fillId="0" borderId="29" xfId="0" applyNumberFormat="1" applyFont="1" applyBorder="1"/>
    <xf numFmtId="4" fontId="30" fillId="0" borderId="35" xfId="0" applyNumberFormat="1" applyFont="1" applyBorder="1"/>
    <xf numFmtId="0" fontId="7" fillId="0" borderId="40" xfId="0" applyFont="1" applyBorder="1"/>
    <xf numFmtId="4" fontId="22" fillId="0" borderId="40" xfId="0" applyNumberFormat="1" applyFont="1" applyBorder="1"/>
    <xf numFmtId="4" fontId="30" fillId="0" borderId="53" xfId="0" applyNumberFormat="1" applyFont="1" applyBorder="1"/>
    <xf numFmtId="4" fontId="0" fillId="10" borderId="24" xfId="0" applyNumberFormat="1" applyFill="1" applyBorder="1"/>
    <xf numFmtId="4" fontId="0" fillId="10" borderId="24" xfId="0" applyNumberFormat="1" applyFill="1" applyBorder="1" applyAlignment="1">
      <alignment horizontal="center"/>
    </xf>
    <xf numFmtId="4" fontId="22" fillId="0" borderId="49" xfId="0" applyNumberFormat="1" applyFont="1" applyBorder="1"/>
    <xf numFmtId="4" fontId="22" fillId="0" borderId="59" xfId="0" applyNumberFormat="1" applyFont="1" applyBorder="1"/>
    <xf numFmtId="4" fontId="30" fillId="0" borderId="35" xfId="0" applyNumberFormat="1" applyFont="1" applyBorder="1" applyAlignment="1">
      <alignment horizontal="center"/>
    </xf>
    <xf numFmtId="4" fontId="30" fillId="0" borderId="29" xfId="0" applyNumberFormat="1" applyFont="1" applyBorder="1" applyAlignment="1">
      <alignment horizontal="center"/>
    </xf>
    <xf numFmtId="4" fontId="30" fillId="0" borderId="53" xfId="0" applyNumberFormat="1" applyFont="1" applyBorder="1" applyAlignment="1">
      <alignment horizontal="center"/>
    </xf>
    <xf numFmtId="0" fontId="2" fillId="6" borderId="4" xfId="0" applyFont="1" applyFill="1" applyBorder="1" applyAlignment="1">
      <alignment horizontal="center" vertical="center" wrapText="1"/>
    </xf>
    <xf numFmtId="4" fontId="20" fillId="6" borderId="1" xfId="0" applyNumberFormat="1" applyFont="1" applyFill="1" applyBorder="1" applyAlignment="1">
      <alignment horizontal="center" vertical="center" wrapText="1"/>
    </xf>
    <xf numFmtId="0" fontId="11" fillId="5" borderId="15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left" vertical="top"/>
    </xf>
    <xf numFmtId="0" fontId="0" fillId="14" borderId="0" xfId="0" applyFill="1" applyAlignment="1">
      <alignment horizontal="center" vertical="top"/>
    </xf>
    <xf numFmtId="0" fontId="33" fillId="0" borderId="0" xfId="0" applyFont="1" applyAlignment="1">
      <alignment horizontal="left" vertical="top"/>
    </xf>
    <xf numFmtId="17" fontId="0" fillId="0" borderId="0" xfId="0" applyNumberFormat="1" applyAlignment="1">
      <alignment horizontal="left" vertical="top"/>
    </xf>
    <xf numFmtId="4" fontId="0" fillId="0" borderId="0" xfId="0" applyNumberFormat="1" applyAlignment="1">
      <alignment horizontal="left" vertical="top"/>
    </xf>
    <xf numFmtId="0" fontId="0" fillId="6" borderId="0" xfId="0" applyFill="1" applyAlignment="1">
      <alignment horizontal="left" vertical="top"/>
    </xf>
    <xf numFmtId="0" fontId="31" fillId="0" borderId="0" xfId="0" applyFont="1" applyAlignment="1">
      <alignment horizontal="left" vertical="top"/>
    </xf>
    <xf numFmtId="0" fontId="16" fillId="0" borderId="0" xfId="0" applyFont="1" applyAlignment="1">
      <alignment horizontal="left" vertical="top"/>
    </xf>
    <xf numFmtId="17" fontId="31" fillId="0" borderId="0" xfId="0" applyNumberFormat="1" applyFont="1" applyAlignment="1">
      <alignment horizontal="left" vertical="top"/>
    </xf>
    <xf numFmtId="4" fontId="31" fillId="0" borderId="0" xfId="0" applyNumberFormat="1" applyFont="1" applyAlignment="1">
      <alignment horizontal="left" vertical="top"/>
    </xf>
    <xf numFmtId="0" fontId="3" fillId="15" borderId="1" xfId="0" applyFont="1" applyFill="1" applyBorder="1" applyAlignment="1">
      <alignment horizontal="justify" vertical="center" wrapText="1"/>
    </xf>
    <xf numFmtId="4" fontId="22" fillId="0" borderId="36" xfId="0" applyNumberFormat="1" applyFont="1" applyBorder="1"/>
    <xf numFmtId="4" fontId="0" fillId="0" borderId="55" xfId="0" applyNumberFormat="1" applyBorder="1" applyAlignment="1">
      <alignment horizontal="center"/>
    </xf>
    <xf numFmtId="0" fontId="36" fillId="0" borderId="0" xfId="0" applyFont="1" applyAlignment="1">
      <alignment vertical="center"/>
    </xf>
    <xf numFmtId="0" fontId="0" fillId="6" borderId="23" xfId="0" applyFill="1" applyBorder="1"/>
    <xf numFmtId="166" fontId="18" fillId="6" borderId="25" xfId="1" applyNumberFormat="1" applyFont="1" applyFill="1" applyBorder="1" applyAlignment="1">
      <alignment horizontal="center" vertical="center"/>
    </xf>
    <xf numFmtId="4" fontId="22" fillId="0" borderId="60" xfId="0" applyNumberFormat="1" applyFont="1" applyBorder="1"/>
    <xf numFmtId="4" fontId="7" fillId="0" borderId="61" xfId="0" applyNumberFormat="1" applyFont="1" applyBorder="1" applyAlignment="1">
      <alignment horizontal="center"/>
    </xf>
    <xf numFmtId="0" fontId="0" fillId="9" borderId="23" xfId="0" applyFill="1" applyBorder="1"/>
    <xf numFmtId="0" fontId="0" fillId="10" borderId="23" xfId="0" applyFill="1" applyBorder="1"/>
    <xf numFmtId="0" fontId="0" fillId="8" borderId="23" xfId="0" applyFill="1" applyBorder="1"/>
    <xf numFmtId="4" fontId="7" fillId="0" borderId="14" xfId="0" applyNumberFormat="1" applyFont="1" applyBorder="1" applyAlignment="1">
      <alignment horizontal="center"/>
    </xf>
    <xf numFmtId="0" fontId="0" fillId="11" borderId="23" xfId="0" applyFill="1" applyBorder="1"/>
    <xf numFmtId="166" fontId="17" fillId="2" borderId="37" xfId="1" applyNumberFormat="1" applyFont="1" applyFill="1" applyBorder="1" applyAlignment="1">
      <alignment horizontal="center" vertical="center"/>
    </xf>
    <xf numFmtId="166" fontId="17" fillId="2" borderId="25" xfId="1" applyNumberFormat="1" applyFont="1" applyFill="1" applyBorder="1" applyAlignment="1">
      <alignment horizontal="center" vertical="center"/>
    </xf>
    <xf numFmtId="0" fontId="14" fillId="15" borderId="1" xfId="0" applyFont="1" applyFill="1" applyBorder="1" applyAlignment="1">
      <alignment horizontal="justify" vertical="center" wrapText="1"/>
    </xf>
    <xf numFmtId="0" fontId="14" fillId="15" borderId="1" xfId="0" applyFont="1" applyFill="1" applyBorder="1" applyAlignment="1">
      <alignment horizontal="left" vertical="center" wrapText="1"/>
    </xf>
    <xf numFmtId="0" fontId="14" fillId="15" borderId="2" xfId="0" applyFont="1" applyFill="1" applyBorder="1" applyAlignment="1">
      <alignment horizontal="justify" vertical="center" wrapText="1"/>
    </xf>
    <xf numFmtId="4" fontId="0" fillId="6" borderId="24" xfId="0" applyNumberFormat="1" applyFill="1" applyBorder="1"/>
    <xf numFmtId="0" fontId="0" fillId="0" borderId="32" xfId="0" applyFill="1" applyBorder="1"/>
    <xf numFmtId="4" fontId="2" fillId="2" borderId="2" xfId="0" applyNumberFormat="1" applyFont="1" applyFill="1" applyBorder="1" applyAlignment="1">
      <alignment horizontal="center" vertical="center" shrinkToFit="1"/>
    </xf>
    <xf numFmtId="4" fontId="2" fillId="2" borderId="4" xfId="0" applyNumberFormat="1" applyFont="1" applyFill="1" applyBorder="1" applyAlignment="1">
      <alignment horizontal="center" vertical="center" shrinkToFit="1"/>
    </xf>
    <xf numFmtId="0" fontId="8" fillId="2" borderId="18" xfId="0" applyFont="1" applyFill="1" applyBorder="1" applyAlignment="1">
      <alignment horizontal="center" vertical="center"/>
    </xf>
    <xf numFmtId="4" fontId="20" fillId="2" borderId="2" xfId="0" applyNumberFormat="1" applyFont="1" applyFill="1" applyBorder="1" applyAlignment="1">
      <alignment horizontal="center" vertical="center" shrinkToFit="1"/>
    </xf>
    <xf numFmtId="4" fontId="20" fillId="2" borderId="4" xfId="0" applyNumberFormat="1" applyFont="1" applyFill="1" applyBorder="1" applyAlignment="1">
      <alignment horizontal="center" vertical="center" shrinkToFit="1"/>
    </xf>
    <xf numFmtId="0" fontId="2" fillId="2" borderId="2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2" fillId="13" borderId="0" xfId="0" applyNumberFormat="1" applyFont="1" applyFill="1" applyBorder="1" applyAlignment="1">
      <alignment horizontal="left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2" fillId="2" borderId="46" xfId="0" applyFont="1" applyFill="1" applyBorder="1" applyAlignment="1">
      <alignment horizontal="center" vertical="center" wrapText="1"/>
    </xf>
    <xf numFmtId="0" fontId="2" fillId="2" borderId="47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 wrapText="1"/>
    </xf>
    <xf numFmtId="0" fontId="2" fillId="2" borderId="46" xfId="0" applyFont="1" applyFill="1" applyBorder="1" applyAlignment="1">
      <alignment horizontal="center" vertical="center"/>
    </xf>
    <xf numFmtId="0" fontId="2" fillId="2" borderId="47" xfId="0" applyFont="1" applyFill="1" applyBorder="1" applyAlignment="1">
      <alignment horizontal="center" vertical="center"/>
    </xf>
    <xf numFmtId="0" fontId="2" fillId="2" borderId="43" xfId="0" applyFont="1" applyFill="1" applyBorder="1" applyAlignment="1">
      <alignment horizontal="center" vertical="center" wrapText="1"/>
    </xf>
    <xf numFmtId="0" fontId="2" fillId="2" borderId="44" xfId="0" applyFont="1" applyFill="1" applyBorder="1" applyAlignment="1">
      <alignment horizontal="center" vertical="center" wrapText="1"/>
    </xf>
    <xf numFmtId="0" fontId="24" fillId="0" borderId="10" xfId="0" applyFont="1" applyBorder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5" borderId="15" xfId="0" applyFont="1" applyFill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7" fillId="10" borderId="24" xfId="0" applyFont="1" applyFill="1" applyBorder="1" applyAlignment="1">
      <alignment horizontal="center"/>
    </xf>
    <xf numFmtId="0" fontId="17" fillId="2" borderId="23" xfId="0" applyFont="1" applyFill="1" applyBorder="1" applyAlignment="1">
      <alignment horizontal="center" vertical="center"/>
    </xf>
    <xf numFmtId="0" fontId="17" fillId="2" borderId="24" xfId="0" applyFont="1" applyFill="1" applyBorder="1" applyAlignment="1">
      <alignment horizontal="center" vertical="center"/>
    </xf>
    <xf numFmtId="0" fontId="17" fillId="2" borderId="25" xfId="0" applyFont="1" applyFill="1" applyBorder="1" applyAlignment="1">
      <alignment horizontal="center" vertical="center"/>
    </xf>
    <xf numFmtId="0" fontId="17" fillId="2" borderId="26" xfId="0" applyFont="1" applyFill="1" applyBorder="1" applyAlignment="1">
      <alignment horizontal="center" vertical="center"/>
    </xf>
    <xf numFmtId="0" fontId="17" fillId="2" borderId="27" xfId="0" applyFont="1" applyFill="1" applyBorder="1" applyAlignment="1">
      <alignment horizontal="center" vertical="center"/>
    </xf>
    <xf numFmtId="4" fontId="17" fillId="2" borderId="23" xfId="0" applyNumberFormat="1" applyFont="1" applyFill="1" applyBorder="1" applyAlignment="1">
      <alignment horizontal="center" vertical="center" wrapText="1"/>
    </xf>
    <xf numFmtId="4" fontId="17" fillId="2" borderId="24" xfId="0" applyNumberFormat="1" applyFont="1" applyFill="1" applyBorder="1" applyAlignment="1">
      <alignment horizontal="center" vertical="center" wrapText="1"/>
    </xf>
    <xf numFmtId="4" fontId="17" fillId="2" borderId="25" xfId="0" applyNumberFormat="1" applyFont="1" applyFill="1" applyBorder="1" applyAlignment="1">
      <alignment horizontal="center" vertical="center" wrapText="1"/>
    </xf>
    <xf numFmtId="0" fontId="17" fillId="0" borderId="54" xfId="0" applyFont="1" applyBorder="1" applyAlignment="1">
      <alignment horizontal="center" vertical="center"/>
    </xf>
    <xf numFmtId="0" fontId="17" fillId="0" borderId="51" xfId="0" applyFont="1" applyBorder="1" applyAlignment="1">
      <alignment horizontal="center" vertical="center"/>
    </xf>
    <xf numFmtId="0" fontId="17" fillId="6" borderId="24" xfId="0" applyFont="1" applyFill="1" applyBorder="1" applyAlignment="1">
      <alignment horizontal="center"/>
    </xf>
    <xf numFmtId="0" fontId="17" fillId="0" borderId="52" xfId="0" applyFont="1" applyBorder="1" applyAlignment="1">
      <alignment horizontal="center" vertical="center"/>
    </xf>
    <xf numFmtId="0" fontId="17" fillId="9" borderId="24" xfId="0" applyFont="1" applyFill="1" applyBorder="1" applyAlignment="1">
      <alignment horizontal="center"/>
    </xf>
    <xf numFmtId="0" fontId="17" fillId="8" borderId="24" xfId="0" applyFont="1" applyFill="1" applyBorder="1" applyAlignment="1">
      <alignment horizontal="center"/>
    </xf>
    <xf numFmtId="0" fontId="17" fillId="11" borderId="24" xfId="0" applyFont="1" applyFill="1" applyBorder="1" applyAlignment="1">
      <alignment horizontal="center"/>
    </xf>
    <xf numFmtId="0" fontId="17" fillId="2" borderId="37" xfId="0" applyFont="1" applyFill="1" applyBorder="1" applyAlignment="1">
      <alignment horizontal="center" vertical="center"/>
    </xf>
    <xf numFmtId="0" fontId="35" fillId="0" borderId="0" xfId="0" applyFont="1" applyAlignment="1">
      <alignment horizontal="center" vertical="top"/>
    </xf>
    <xf numFmtId="0" fontId="35" fillId="0" borderId="0" xfId="0" applyFont="1" applyAlignment="1">
      <alignment horizontal="center" vertical="center" wrapText="1"/>
    </xf>
    <xf numFmtId="4" fontId="1" fillId="0" borderId="49" xfId="0" applyNumberFormat="1" applyFont="1" applyBorder="1" applyAlignment="1">
      <alignment horizontal="right"/>
    </xf>
    <xf numFmtId="4" fontId="1" fillId="0" borderId="29" xfId="0" applyNumberFormat="1" applyFont="1" applyBorder="1" applyAlignment="1">
      <alignment horizontal="right"/>
    </xf>
    <xf numFmtId="4" fontId="1" fillId="0" borderId="32" xfId="0" applyNumberFormat="1" applyFont="1" applyBorder="1"/>
    <xf numFmtId="4" fontId="1" fillId="0" borderId="31" xfId="0" applyNumberFormat="1" applyFont="1" applyBorder="1"/>
    <xf numFmtId="4" fontId="1" fillId="0" borderId="28" xfId="0" applyNumberFormat="1" applyFont="1" applyBorder="1"/>
    <xf numFmtId="4" fontId="1" fillId="0" borderId="58" xfId="0" applyNumberFormat="1" applyFont="1" applyBorder="1"/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colors>
    <mruColors>
      <color rgb="FFFFFFCC"/>
      <color rgb="FF008000"/>
      <color rgb="FF1E82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15</xdr:col>
      <xdr:colOff>495300</xdr:colOff>
      <xdr:row>28</xdr:row>
      <xdr:rowOff>123825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764CD50-427C-401F-A31E-92DAB5E9C8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" y="1000125"/>
          <a:ext cx="7962900" cy="384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514351</xdr:colOff>
      <xdr:row>33</xdr:row>
      <xdr:rowOff>142874</xdr:rowOff>
    </xdr:from>
    <xdr:to>
      <xdr:col>16</xdr:col>
      <xdr:colOff>57151</xdr:colOff>
      <xdr:row>73</xdr:row>
      <xdr:rowOff>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9DF764F3-3383-4E45-A224-4A32D249E8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1" y="5753099"/>
          <a:ext cx="8077200" cy="63341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77"/>
  <sheetViews>
    <sheetView showGridLines="0" tabSelected="1" zoomScale="90" zoomScaleNormal="90" zoomScaleSheetLayoutView="110" workbookViewId="0">
      <pane xSplit="6" ySplit="22" topLeftCell="G53" activePane="bottomRight" state="frozen"/>
      <selection pane="topRight" activeCell="G1" sqref="G1"/>
      <selection pane="bottomLeft" activeCell="A24" sqref="A24"/>
      <selection pane="bottomRight" activeCell="E56" sqref="E55:E56"/>
    </sheetView>
  </sheetViews>
  <sheetFormatPr defaultRowHeight="12.75"/>
  <cols>
    <col min="1" max="1" width="53.5" style="15" customWidth="1"/>
    <col min="2" max="2" width="12" style="24" customWidth="1"/>
    <col min="3" max="3" width="12.5" style="15" customWidth="1"/>
    <col min="4" max="4" width="13.83203125" style="15" customWidth="1"/>
    <col min="5" max="5" width="9.83203125" style="15" customWidth="1"/>
    <col min="6" max="6" width="14.1640625" style="24" customWidth="1"/>
    <col min="7" max="7" width="16.1640625" style="15" customWidth="1"/>
    <col min="8" max="8" width="13.1640625" style="15" customWidth="1"/>
    <col min="9" max="9" width="16.1640625" style="15" customWidth="1"/>
    <col min="10" max="10" width="13.6640625" style="15" customWidth="1"/>
    <col min="11" max="11" width="16.1640625" style="15" customWidth="1"/>
    <col min="12" max="12" width="13.33203125" style="15" customWidth="1"/>
    <col min="13" max="13" width="17" style="15" bestFit="1" customWidth="1"/>
    <col min="14" max="14" width="13.1640625" style="15" customWidth="1"/>
    <col min="15" max="15" width="16.83203125" style="15" customWidth="1"/>
    <col min="16" max="16" width="12.83203125" style="15" customWidth="1"/>
    <col min="17" max="17" width="16.5" style="15" customWidth="1"/>
    <col min="18" max="18" width="13.1640625" style="15" customWidth="1"/>
    <col min="19" max="19" width="16.5" style="15" customWidth="1"/>
    <col min="20" max="20" width="13.1640625" style="15" customWidth="1"/>
    <col min="21" max="21" width="16.5" style="15" customWidth="1"/>
    <col min="22" max="22" width="10.1640625" style="15" customWidth="1"/>
    <col min="23" max="23" width="4.1640625" style="15" customWidth="1"/>
    <col min="24" max="16384" width="9.33203125" style="15"/>
  </cols>
  <sheetData>
    <row r="1" spans="1:22" ht="19.5">
      <c r="A1" s="5" t="s">
        <v>0</v>
      </c>
      <c r="B1" s="77"/>
      <c r="C1" s="12"/>
      <c r="D1" s="12"/>
      <c r="E1" s="12"/>
      <c r="F1" s="23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1:22">
      <c r="A2" s="266"/>
      <c r="B2" s="266"/>
      <c r="C2" s="266"/>
      <c r="D2" s="266"/>
      <c r="E2" s="266"/>
      <c r="F2" s="266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</row>
    <row r="3" spans="1:22" ht="8.25" customHeight="1">
      <c r="A3" s="12"/>
      <c r="B3" s="23"/>
      <c r="C3" s="55"/>
      <c r="D3" s="55"/>
      <c r="E3" s="55"/>
      <c r="F3" s="56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</row>
    <row r="4" spans="1:22">
      <c r="A4" s="12" t="s">
        <v>41</v>
      </c>
      <c r="B4" s="23"/>
      <c r="C4" s="68">
        <v>1</v>
      </c>
      <c r="D4" s="56" t="str">
        <f>IF(C4=1,"mês","meses")</f>
        <v>mês</v>
      </c>
      <c r="E4" s="54" t="s">
        <v>127</v>
      </c>
      <c r="F4" s="56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</row>
    <row r="5" spans="1:22" ht="8.25" customHeight="1">
      <c r="A5" s="12"/>
      <c r="B5" s="23"/>
      <c r="C5" s="12"/>
      <c r="D5" s="12"/>
      <c r="E5" s="12"/>
      <c r="F5" s="23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</row>
    <row r="6" spans="1:22" ht="30.75" customHeight="1">
      <c r="A6" s="45" t="s">
        <v>126</v>
      </c>
      <c r="B6" s="78"/>
      <c r="C6" s="243"/>
      <c r="D6" s="243"/>
      <c r="E6" s="243"/>
      <c r="F6" s="23"/>
      <c r="G6" s="82"/>
      <c r="H6" s="12"/>
      <c r="I6" s="271" t="s">
        <v>52</v>
      </c>
      <c r="J6" s="272"/>
      <c r="K6" s="272"/>
      <c r="L6" s="272"/>
      <c r="M6" s="272"/>
      <c r="N6" s="273"/>
      <c r="O6" s="16"/>
      <c r="P6" s="16"/>
      <c r="Q6" s="16"/>
      <c r="R6" s="16"/>
      <c r="S6" s="16"/>
      <c r="T6" s="16"/>
      <c r="U6" s="267" t="s">
        <v>103</v>
      </c>
      <c r="V6" s="268"/>
    </row>
    <row r="7" spans="1:22" ht="48.75" customHeight="1">
      <c r="A7" s="277" t="s">
        <v>1</v>
      </c>
      <c r="B7" s="278"/>
      <c r="C7" s="249" t="s">
        <v>2</v>
      </c>
      <c r="D7" s="255" t="s">
        <v>320</v>
      </c>
      <c r="E7" s="256"/>
      <c r="F7" s="252" t="s">
        <v>74</v>
      </c>
      <c r="G7" s="263" t="s">
        <v>155</v>
      </c>
      <c r="H7" s="256"/>
      <c r="I7" s="259" t="s">
        <v>61</v>
      </c>
      <c r="J7" s="260"/>
      <c r="K7" s="275" t="s">
        <v>62</v>
      </c>
      <c r="L7" s="276"/>
      <c r="M7" s="259" t="s">
        <v>63</v>
      </c>
      <c r="N7" s="260"/>
      <c r="O7" s="264" t="s">
        <v>53</v>
      </c>
      <c r="P7" s="265"/>
      <c r="Q7" s="264" t="s">
        <v>54</v>
      </c>
      <c r="R7" s="265"/>
      <c r="S7" s="264" t="s">
        <v>102</v>
      </c>
      <c r="T7" s="265"/>
      <c r="U7" s="269" t="s">
        <v>105</v>
      </c>
      <c r="V7" s="270"/>
    </row>
    <row r="8" spans="1:22" s="17" customFormat="1" ht="11.25" customHeight="1">
      <c r="A8" s="69"/>
      <c r="B8" s="64"/>
      <c r="C8" s="250"/>
      <c r="D8" s="257"/>
      <c r="E8" s="258"/>
      <c r="F8" s="253"/>
      <c r="G8" s="261" t="s">
        <v>154</v>
      </c>
      <c r="H8" s="262"/>
      <c r="I8" s="274" t="s">
        <v>49</v>
      </c>
      <c r="J8" s="265"/>
      <c r="K8" s="264" t="s">
        <v>50</v>
      </c>
      <c r="L8" s="265"/>
      <c r="M8" s="264" t="s">
        <v>51</v>
      </c>
      <c r="N8" s="265"/>
      <c r="O8" s="264" t="s">
        <v>55</v>
      </c>
      <c r="P8" s="265"/>
      <c r="Q8" s="264" t="s">
        <v>56</v>
      </c>
      <c r="R8" s="265"/>
      <c r="S8" s="264" t="s">
        <v>57</v>
      </c>
      <c r="T8" s="265"/>
      <c r="U8" s="264" t="s">
        <v>58</v>
      </c>
      <c r="V8" s="265"/>
    </row>
    <row r="9" spans="1:22" s="17" customFormat="1" ht="22.5" customHeight="1">
      <c r="A9" s="70"/>
      <c r="B9" s="44" t="s">
        <v>143</v>
      </c>
      <c r="C9" s="251"/>
      <c r="D9" s="259"/>
      <c r="E9" s="260"/>
      <c r="F9" s="254"/>
      <c r="G9" s="142" t="s">
        <v>3</v>
      </c>
      <c r="H9" s="44" t="s">
        <v>4</v>
      </c>
      <c r="I9" s="142" t="s">
        <v>3</v>
      </c>
      <c r="J9" s="6" t="s">
        <v>4</v>
      </c>
      <c r="K9" s="62" t="s">
        <v>3</v>
      </c>
      <c r="L9" s="6" t="s">
        <v>4</v>
      </c>
      <c r="M9" s="62" t="s">
        <v>3</v>
      </c>
      <c r="N9" s="6" t="s">
        <v>4</v>
      </c>
      <c r="O9" s="62" t="s">
        <v>3</v>
      </c>
      <c r="P9" s="6" t="s">
        <v>4</v>
      </c>
      <c r="Q9" s="62" t="s">
        <v>3</v>
      </c>
      <c r="R9" s="6" t="s">
        <v>4</v>
      </c>
      <c r="S9" s="62" t="s">
        <v>3</v>
      </c>
      <c r="T9" s="6" t="s">
        <v>4</v>
      </c>
      <c r="U9" s="50" t="s">
        <v>3</v>
      </c>
      <c r="V9" s="6" t="s">
        <v>4</v>
      </c>
    </row>
    <row r="10" spans="1:22" s="17" customFormat="1" ht="11.25">
      <c r="A10" s="3" t="s">
        <v>29</v>
      </c>
      <c r="B10" s="4"/>
      <c r="C10" s="4" t="s">
        <v>13</v>
      </c>
      <c r="D10" s="4"/>
      <c r="E10" s="4"/>
      <c r="F10" s="18" t="s">
        <v>30</v>
      </c>
      <c r="G10" s="13">
        <f>ROUNDUP((29.74+59.14+14.79+29.57)*1.35,-2)</f>
        <v>200</v>
      </c>
      <c r="H10" s="18" t="s">
        <v>30</v>
      </c>
      <c r="I10" s="13">
        <f>ROUNDUP((29.74+29.58+120+29.57+4*59.14+2*14.79+29.57+37.11+29.57+29.57+7.44+37.11+29.57)*1.35,-2)</f>
        <v>1000</v>
      </c>
      <c r="J10" s="18" t="s">
        <v>30</v>
      </c>
      <c r="K10" s="13">
        <f>ROUNDUP((59.48+44.37+210+59.14+245+2*14.79+59.14+74.22+29.57+29.57+29.74+7.44+37.11+29.57+33.51)*1.35,-2)</f>
        <v>1400</v>
      </c>
      <c r="L10" s="18" t="s">
        <v>30</v>
      </c>
      <c r="M10" s="13">
        <f>ROUNDUP((89.22+59.16+300+88.71+350+3*14.79+88.71+111.33+29.57+29.57+29.74+7.44+74.22+59.14+33.51)*1.35,-2)</f>
        <v>1900</v>
      </c>
      <c r="N10" s="18" t="s">
        <v>30</v>
      </c>
      <c r="O10" s="13">
        <f>ROUNDUP((29.74+29.57+59.14+14.79+29.57+37.11+29.57+29.57)*1.35,-2)</f>
        <v>400</v>
      </c>
      <c r="P10" s="18" t="s">
        <v>30</v>
      </c>
      <c r="Q10" s="13">
        <f>ROUNDUP((29.74+29.57+59.14+14.79+29.57+37.11)*1.35,-2)</f>
        <v>300</v>
      </c>
      <c r="R10" s="18" t="s">
        <v>30</v>
      </c>
      <c r="S10" s="13">
        <f>ROUNDUP((29.74+29.57+2*59.14+14.79+29.57+37.11+29.57+29.57+59.14)*1.35,-2)</f>
        <v>600</v>
      </c>
      <c r="T10" s="18" t="s">
        <v>30</v>
      </c>
      <c r="U10" s="13">
        <f>ROUNDUP((89.22+59.16+240+88.71+280+3*14.79+88.71+111.33+29.57+29.57+29.74+7.44+74.22+59.14+33.51)*1.35,-2)</f>
        <v>1800</v>
      </c>
      <c r="V10" s="18" t="s">
        <v>30</v>
      </c>
    </row>
    <row r="11" spans="1:22" s="17" customFormat="1" ht="11.25">
      <c r="A11" s="3" t="s">
        <v>99</v>
      </c>
      <c r="B11" s="4"/>
      <c r="C11" s="4" t="s">
        <v>28</v>
      </c>
      <c r="D11" s="4" t="s">
        <v>33</v>
      </c>
      <c r="E11" s="4"/>
      <c r="F11" s="18" t="s">
        <v>30</v>
      </c>
      <c r="G11" s="38">
        <v>50</v>
      </c>
      <c r="H11" s="18" t="s">
        <v>30</v>
      </c>
      <c r="I11" s="38">
        <v>150</v>
      </c>
      <c r="J11" s="18" t="s">
        <v>30</v>
      </c>
      <c r="K11" s="38">
        <v>275</v>
      </c>
      <c r="L11" s="18" t="s">
        <v>30</v>
      </c>
      <c r="M11" s="38">
        <v>400</v>
      </c>
      <c r="N11" s="18" t="s">
        <v>30</v>
      </c>
      <c r="O11" s="38">
        <v>50</v>
      </c>
      <c r="P11" s="18" t="s">
        <v>30</v>
      </c>
      <c r="Q11" s="38">
        <v>20</v>
      </c>
      <c r="R11" s="18" t="s">
        <v>30</v>
      </c>
      <c r="S11" s="38">
        <v>75</v>
      </c>
      <c r="T11" s="18" t="s">
        <v>30</v>
      </c>
      <c r="U11" s="38">
        <v>300</v>
      </c>
      <c r="V11" s="18" t="s">
        <v>30</v>
      </c>
    </row>
    <row r="12" spans="1:22" s="17" customFormat="1" ht="11.25">
      <c r="A12" s="3" t="s">
        <v>98</v>
      </c>
      <c r="B12" s="4"/>
      <c r="C12" s="4" t="s">
        <v>28</v>
      </c>
      <c r="D12" s="4" t="s">
        <v>60</v>
      </c>
      <c r="E12" s="4"/>
      <c r="F12" s="18" t="s">
        <v>30</v>
      </c>
      <c r="G12" s="13">
        <f>ROUNDUP(G11*0.4,0)</f>
        <v>20</v>
      </c>
      <c r="H12" s="18" t="s">
        <v>30</v>
      </c>
      <c r="I12" s="13">
        <f>ROUNDUP(I11*0.5,0)</f>
        <v>75</v>
      </c>
      <c r="J12" s="18" t="s">
        <v>30</v>
      </c>
      <c r="K12" s="13">
        <f>ROUNDUP(K11*0.5,0)</f>
        <v>138</v>
      </c>
      <c r="L12" s="18" t="s">
        <v>30</v>
      </c>
      <c r="M12" s="13">
        <f>ROUNDUP(M11*0.5,0)</f>
        <v>200</v>
      </c>
      <c r="N12" s="18" t="s">
        <v>30</v>
      </c>
      <c r="O12" s="13">
        <f>ROUNDUP(O11*0.4,0)</f>
        <v>20</v>
      </c>
      <c r="P12" s="18" t="s">
        <v>30</v>
      </c>
      <c r="Q12" s="13">
        <f>Q11</f>
        <v>20</v>
      </c>
      <c r="R12" s="18" t="s">
        <v>30</v>
      </c>
      <c r="S12" s="13">
        <f>ROUNDUP(S11*0.5,0)</f>
        <v>38</v>
      </c>
      <c r="T12" s="18" t="s">
        <v>30</v>
      </c>
      <c r="U12" s="13">
        <f>ROUNDUP(U11*0.5,0)</f>
        <v>150</v>
      </c>
      <c r="V12" s="18" t="s">
        <v>30</v>
      </c>
    </row>
    <row r="13" spans="1:22" s="17" customFormat="1" ht="11.25" customHeight="1">
      <c r="A13" s="50" t="s">
        <v>20</v>
      </c>
      <c r="B13" s="63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2"/>
    </row>
    <row r="14" spans="1:22" s="17" customFormat="1" ht="11.25">
      <c r="A14" s="2" t="s">
        <v>25</v>
      </c>
      <c r="B14" s="1"/>
      <c r="C14" s="1" t="s">
        <v>13</v>
      </c>
      <c r="D14" s="1" t="s">
        <v>64</v>
      </c>
      <c r="E14" s="1">
        <v>400000</v>
      </c>
      <c r="F14" s="20">
        <v>1.1100000000000001</v>
      </c>
      <c r="G14" s="14">
        <f>G10</f>
        <v>200</v>
      </c>
      <c r="H14" s="14">
        <f>ROUND($F14*G14,2)</f>
        <v>222</v>
      </c>
      <c r="I14" s="14">
        <f>I10</f>
        <v>1000</v>
      </c>
      <c r="J14" s="14">
        <f t="shared" ref="J14:J16" si="0">ROUND($F14*I14,2)</f>
        <v>1110</v>
      </c>
      <c r="K14" s="14">
        <f>K10</f>
        <v>1400</v>
      </c>
      <c r="L14" s="14">
        <f t="shared" ref="L14:L16" si="1">ROUND($F14*K14,2)</f>
        <v>1554</v>
      </c>
      <c r="M14" s="14">
        <f>M10</f>
        <v>1900</v>
      </c>
      <c r="N14" s="14">
        <f t="shared" ref="N14:N16" si="2">ROUND($F14*M14,2)</f>
        <v>2109</v>
      </c>
      <c r="O14" s="14">
        <f>O10</f>
        <v>400</v>
      </c>
      <c r="P14" s="14">
        <f>ROUND($F14*O14,2)</f>
        <v>444</v>
      </c>
      <c r="Q14" s="14">
        <f>Q10</f>
        <v>300</v>
      </c>
      <c r="R14" s="14">
        <f t="shared" ref="R14:R15" si="3">ROUND($F14*Q14,2)</f>
        <v>333</v>
      </c>
      <c r="S14" s="14">
        <f>S10</f>
        <v>600</v>
      </c>
      <c r="T14" s="14">
        <f t="shared" ref="T14:T15" si="4">ROUND($F14*S14,2)</f>
        <v>666</v>
      </c>
      <c r="U14" s="14">
        <f>U10</f>
        <v>1800</v>
      </c>
      <c r="V14" s="14">
        <f t="shared" ref="V14:V15" si="5">ROUND($F14*U14,2)</f>
        <v>1998</v>
      </c>
    </row>
    <row r="15" spans="1:22" s="17" customFormat="1" ht="11.25">
      <c r="A15" s="2" t="s">
        <v>18</v>
      </c>
      <c r="B15" s="1"/>
      <c r="C15" s="1" t="s">
        <v>13</v>
      </c>
      <c r="D15" s="1" t="s">
        <v>64</v>
      </c>
      <c r="E15" s="1">
        <v>511300</v>
      </c>
      <c r="F15" s="20">
        <v>0.28000000000000003</v>
      </c>
      <c r="G15" s="14">
        <f>G10</f>
        <v>200</v>
      </c>
      <c r="H15" s="14">
        <f>ROUND($F15*G15,2)</f>
        <v>56</v>
      </c>
      <c r="I15" s="14">
        <f>I10</f>
        <v>1000</v>
      </c>
      <c r="J15" s="14">
        <f t="shared" si="0"/>
        <v>280</v>
      </c>
      <c r="K15" s="14">
        <f>K10</f>
        <v>1400</v>
      </c>
      <c r="L15" s="14">
        <f t="shared" si="1"/>
        <v>392</v>
      </c>
      <c r="M15" s="14">
        <f>M10</f>
        <v>1900</v>
      </c>
      <c r="N15" s="14">
        <f t="shared" si="2"/>
        <v>532</v>
      </c>
      <c r="O15" s="14">
        <f>O10</f>
        <v>400</v>
      </c>
      <c r="P15" s="14">
        <f>ROUND($F15*O15,2)</f>
        <v>112</v>
      </c>
      <c r="Q15" s="14">
        <f>Q10</f>
        <v>300</v>
      </c>
      <c r="R15" s="14">
        <f t="shared" si="3"/>
        <v>84</v>
      </c>
      <c r="S15" s="14">
        <f>S10</f>
        <v>600</v>
      </c>
      <c r="T15" s="14">
        <f t="shared" si="4"/>
        <v>168</v>
      </c>
      <c r="U15" s="14">
        <f>U10</f>
        <v>1800</v>
      </c>
      <c r="V15" s="14">
        <f t="shared" si="5"/>
        <v>504</v>
      </c>
    </row>
    <row r="16" spans="1:22" s="17" customFormat="1" ht="11.25">
      <c r="A16" s="2" t="s">
        <v>19</v>
      </c>
      <c r="B16" s="1"/>
      <c r="C16" s="1" t="s">
        <v>298</v>
      </c>
      <c r="D16" s="1" t="s">
        <v>64</v>
      </c>
      <c r="E16" s="1">
        <v>603900</v>
      </c>
      <c r="F16" s="139">
        <v>133.49</v>
      </c>
      <c r="G16" s="14">
        <f>G10*0.05</f>
        <v>10</v>
      </c>
      <c r="H16" s="14">
        <f>ROUND($F16*G16,2)</f>
        <v>1334.9</v>
      </c>
      <c r="I16" s="14">
        <f>I10*0.05</f>
        <v>50</v>
      </c>
      <c r="J16" s="14">
        <f t="shared" si="0"/>
        <v>6674.5</v>
      </c>
      <c r="K16" s="14">
        <f>K10*0.05</f>
        <v>70</v>
      </c>
      <c r="L16" s="14">
        <f t="shared" si="1"/>
        <v>9344.2999999999993</v>
      </c>
      <c r="M16" s="14">
        <f>M10*0.05</f>
        <v>95</v>
      </c>
      <c r="N16" s="14">
        <f t="shared" si="2"/>
        <v>12681.55</v>
      </c>
      <c r="O16" s="14">
        <f>O10*0.05</f>
        <v>20</v>
      </c>
      <c r="P16" s="14">
        <f>ROUND($F16*O16,2)</f>
        <v>2669.8</v>
      </c>
      <c r="Q16" s="14">
        <f>Q10*0.05</f>
        <v>15</v>
      </c>
      <c r="R16" s="14">
        <f>ROUND($F16*Q16,2)</f>
        <v>2002.35</v>
      </c>
      <c r="S16" s="14">
        <f>S10*0.05</f>
        <v>30</v>
      </c>
      <c r="T16" s="14">
        <f>ROUND($F16*S16,2)</f>
        <v>4004.7</v>
      </c>
      <c r="U16" s="14">
        <f>U10*0.05</f>
        <v>90</v>
      </c>
      <c r="V16" s="14">
        <f>ROUND($F16*U16,2)</f>
        <v>12014.1</v>
      </c>
    </row>
    <row r="17" spans="1:23" s="17" customFormat="1" ht="11.25" customHeight="1">
      <c r="A17" s="50" t="s">
        <v>24</v>
      </c>
      <c r="B17" s="63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2"/>
    </row>
    <row r="18" spans="1:23" s="17" customFormat="1" ht="11.25">
      <c r="A18" s="2" t="s">
        <v>27</v>
      </c>
      <c r="B18" s="1"/>
      <c r="C18" s="1" t="s">
        <v>9</v>
      </c>
      <c r="D18" s="1" t="s">
        <v>64</v>
      </c>
      <c r="E18" s="1">
        <v>831000</v>
      </c>
      <c r="F18" s="20">
        <v>32.700000000000003</v>
      </c>
      <c r="G18" s="14">
        <f>10+20+10+20-(3*2)</f>
        <v>54</v>
      </c>
      <c r="H18" s="57">
        <f t="shared" ref="H18:H20" si="6">ROUND($F18*G18,2)</f>
        <v>1765.8</v>
      </c>
      <c r="I18" s="57">
        <f>20+40+20+40-(3*2)</f>
        <v>114</v>
      </c>
      <c r="J18" s="57">
        <f t="shared" ref="J18:J21" si="7">ROUND($F18*I18,2)</f>
        <v>3727.8</v>
      </c>
      <c r="K18" s="57">
        <f>20+60+20+60-(3*2)</f>
        <v>154</v>
      </c>
      <c r="L18" s="57">
        <f t="shared" ref="L18:L21" si="8">ROUND($F18*K18,2)</f>
        <v>5035.8</v>
      </c>
      <c r="M18" s="57">
        <f>34+50+34+50-(3*2)</f>
        <v>162</v>
      </c>
      <c r="N18" s="57">
        <f t="shared" ref="N18:N21" si="9">ROUND($F18*M18,2)</f>
        <v>5297.4</v>
      </c>
      <c r="O18" s="57">
        <f>20+20+20+20-(3*2)</f>
        <v>74</v>
      </c>
      <c r="P18" s="57">
        <f t="shared" ref="P18:P21" si="10">ROUND($F18*O18,2)</f>
        <v>2419.8000000000002</v>
      </c>
      <c r="Q18" s="57">
        <f>15+20+15+20-(3*2)</f>
        <v>64</v>
      </c>
      <c r="R18" s="57">
        <f t="shared" ref="R18:R21" si="11">ROUND($F18*Q18,2)</f>
        <v>2092.8000000000002</v>
      </c>
      <c r="S18" s="57">
        <f>20+25+20+25-(3*2)</f>
        <v>84</v>
      </c>
      <c r="T18" s="57">
        <f t="shared" ref="T18:T21" si="12">ROUND($F18*S18,2)</f>
        <v>2746.8</v>
      </c>
      <c r="U18" s="57">
        <f>30+50+30+50-(3*2)</f>
        <v>154</v>
      </c>
      <c r="V18" s="57">
        <f t="shared" ref="V18:V20" si="13">ROUND($F18*U18,2)</f>
        <v>5035.8</v>
      </c>
      <c r="W18" s="17" t="s">
        <v>75</v>
      </c>
    </row>
    <row r="19" spans="1:23" s="17" customFormat="1" ht="11.25">
      <c r="A19" s="2" t="s">
        <v>21</v>
      </c>
      <c r="B19" s="1"/>
      <c r="C19" s="1" t="s">
        <v>13</v>
      </c>
      <c r="D19" s="1" t="s">
        <v>64</v>
      </c>
      <c r="E19" s="1" t="s">
        <v>67</v>
      </c>
      <c r="F19" s="139">
        <v>91.96</v>
      </c>
      <c r="G19" s="14">
        <f>2.5*(10+20+10+20-(3*2))</f>
        <v>135</v>
      </c>
      <c r="H19" s="14">
        <f t="shared" si="6"/>
        <v>12414.6</v>
      </c>
      <c r="I19" s="14">
        <f>2.5*(20+40+20+40-(3*2))</f>
        <v>285</v>
      </c>
      <c r="J19" s="14">
        <f t="shared" si="7"/>
        <v>26208.6</v>
      </c>
      <c r="K19" s="14">
        <f>2.5*(20+60+20+60-(3*2))</f>
        <v>385</v>
      </c>
      <c r="L19" s="14">
        <f t="shared" si="8"/>
        <v>35404.6</v>
      </c>
      <c r="M19" s="14">
        <f>2.5*(34+50+34+50-(3*2))</f>
        <v>405</v>
      </c>
      <c r="N19" s="14">
        <f t="shared" si="9"/>
        <v>37243.800000000003</v>
      </c>
      <c r="O19" s="14">
        <f>2.5*(20+20+20+20-(3*2))</f>
        <v>185</v>
      </c>
      <c r="P19" s="14">
        <f t="shared" si="10"/>
        <v>17012.599999999999</v>
      </c>
      <c r="Q19" s="14">
        <f>2.5*(15+20+15+20-(3*2))</f>
        <v>160</v>
      </c>
      <c r="R19" s="14">
        <f t="shared" si="11"/>
        <v>14713.6</v>
      </c>
      <c r="S19" s="14">
        <f>2.5*(20+25+20+25-(3*2))</f>
        <v>210</v>
      </c>
      <c r="T19" s="14">
        <f t="shared" si="12"/>
        <v>19311.599999999999</v>
      </c>
      <c r="U19" s="14">
        <f>2.5*(30+50+30+50-(3*2))</f>
        <v>385</v>
      </c>
      <c r="V19" s="14">
        <f t="shared" si="13"/>
        <v>35404.6</v>
      </c>
      <c r="W19" s="17" t="s">
        <v>75</v>
      </c>
    </row>
    <row r="20" spans="1:23" s="17" customFormat="1" ht="11.25">
      <c r="A20" s="2" t="s">
        <v>23</v>
      </c>
      <c r="B20" s="1"/>
      <c r="C20" s="1" t="s">
        <v>13</v>
      </c>
      <c r="D20" s="1" t="s">
        <v>64</v>
      </c>
      <c r="E20" s="1" t="s">
        <v>68</v>
      </c>
      <c r="F20" s="139">
        <v>120.45</v>
      </c>
      <c r="G20" s="14">
        <f>2.5*(10+20+10+20-(3*2))</f>
        <v>135</v>
      </c>
      <c r="H20" s="57">
        <f t="shared" si="6"/>
        <v>16260.75</v>
      </c>
      <c r="I20" s="57">
        <f>2.5*(20+40+20+40-(3*2))</f>
        <v>285</v>
      </c>
      <c r="J20" s="57">
        <f t="shared" si="7"/>
        <v>34328.25</v>
      </c>
      <c r="K20" s="57">
        <f>2.5*(20+60+20+60-(3*2))</f>
        <v>385</v>
      </c>
      <c r="L20" s="57">
        <f t="shared" si="8"/>
        <v>46373.25</v>
      </c>
      <c r="M20" s="57">
        <f>2.5*(34+50+34+50-(3*2))</f>
        <v>405</v>
      </c>
      <c r="N20" s="57">
        <f t="shared" si="9"/>
        <v>48782.25</v>
      </c>
      <c r="O20" s="57">
        <f>2.5*(20+20+20+20-(3*2))</f>
        <v>185</v>
      </c>
      <c r="P20" s="57">
        <f t="shared" si="10"/>
        <v>22283.25</v>
      </c>
      <c r="Q20" s="57">
        <f>2.5*(15+20+15+20-(3*2))</f>
        <v>160</v>
      </c>
      <c r="R20" s="57">
        <f t="shared" si="11"/>
        <v>19272</v>
      </c>
      <c r="S20" s="57">
        <f>2.5*(20+25+20+25-(3*2))</f>
        <v>210</v>
      </c>
      <c r="T20" s="57">
        <f t="shared" si="12"/>
        <v>25294.5</v>
      </c>
      <c r="U20" s="57">
        <f>2.5*(30+50+30+50-(3*2))</f>
        <v>385</v>
      </c>
      <c r="V20" s="57">
        <f t="shared" si="13"/>
        <v>46373.25</v>
      </c>
    </row>
    <row r="21" spans="1:23" s="17" customFormat="1" ht="11.25">
      <c r="A21" s="2" t="s">
        <v>22</v>
      </c>
      <c r="B21" s="1"/>
      <c r="C21" s="1" t="s">
        <v>13</v>
      </c>
      <c r="D21" s="1" t="s">
        <v>64</v>
      </c>
      <c r="E21" s="1" t="s">
        <v>69</v>
      </c>
      <c r="F21" s="139">
        <v>602.70000000000005</v>
      </c>
      <c r="G21" s="14">
        <f>2.5*(3*2)</f>
        <v>15</v>
      </c>
      <c r="H21" s="14">
        <f t="shared" ref="H21:H59" si="14">ROUND($F21*G21,2)</f>
        <v>9040.5</v>
      </c>
      <c r="I21" s="14">
        <f>2.5*(3*2)</f>
        <v>15</v>
      </c>
      <c r="J21" s="14">
        <f t="shared" si="7"/>
        <v>9040.5</v>
      </c>
      <c r="K21" s="14">
        <f>2.5*(3*2)</f>
        <v>15</v>
      </c>
      <c r="L21" s="14">
        <f t="shared" si="8"/>
        <v>9040.5</v>
      </c>
      <c r="M21" s="14">
        <f>2.5*(3*2)</f>
        <v>15</v>
      </c>
      <c r="N21" s="14">
        <f t="shared" si="9"/>
        <v>9040.5</v>
      </c>
      <c r="O21" s="14">
        <f>2.5*(3*2)</f>
        <v>15</v>
      </c>
      <c r="P21" s="14">
        <f t="shared" si="10"/>
        <v>9040.5</v>
      </c>
      <c r="Q21" s="14">
        <f>2.5*(3*2)</f>
        <v>15</v>
      </c>
      <c r="R21" s="14">
        <f t="shared" si="11"/>
        <v>9040.5</v>
      </c>
      <c r="S21" s="14">
        <f>2.5*(3*2)</f>
        <v>15</v>
      </c>
      <c r="T21" s="14">
        <f t="shared" si="12"/>
        <v>9040.5</v>
      </c>
      <c r="U21" s="14">
        <f>2.5*(3*2)</f>
        <v>15</v>
      </c>
      <c r="V21" s="14">
        <f t="shared" ref="V21" si="15">ROUND($F21*U21,2)</f>
        <v>9040.5</v>
      </c>
    </row>
    <row r="22" spans="1:23" s="17" customFormat="1" ht="11.25" customHeight="1">
      <c r="A22" s="50" t="s">
        <v>5</v>
      </c>
      <c r="B22" s="63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2"/>
    </row>
    <row r="23" spans="1:23" s="17" customFormat="1" ht="12" customHeight="1">
      <c r="A23" s="39" t="s">
        <v>31</v>
      </c>
      <c r="B23" s="71"/>
      <c r="C23" s="1" t="s">
        <v>13</v>
      </c>
      <c r="D23" s="1" t="s">
        <v>65</v>
      </c>
      <c r="E23" s="21">
        <f>Fator!$C$2</f>
        <v>0.7</v>
      </c>
      <c r="F23" s="40">
        <f>Fator!$D$1*E23</f>
        <v>1417.8429999999998</v>
      </c>
      <c r="G23" s="14"/>
      <c r="H23" s="14">
        <f>ROUND(G23*F23,2)</f>
        <v>0</v>
      </c>
      <c r="I23" s="14">
        <f>28.8</f>
        <v>28.8</v>
      </c>
      <c r="J23" s="14">
        <f t="shared" ref="J23" si="16">ROUND($F23*I23,2)</f>
        <v>40833.879999999997</v>
      </c>
      <c r="K23" s="14">
        <f>2*(28.8)</f>
        <v>57.6</v>
      </c>
      <c r="L23" s="14">
        <f>ROUND($F23*K23,2)*1</f>
        <v>81667.759999999995</v>
      </c>
      <c r="M23" s="14">
        <f>3*28.8</f>
        <v>86.4</v>
      </c>
      <c r="N23" s="14">
        <f t="shared" ref="N23:N32" si="17">ROUND($F23*M23,2)</f>
        <v>122501.64</v>
      </c>
      <c r="O23" s="14">
        <v>28.8</v>
      </c>
      <c r="P23" s="14">
        <f t="shared" ref="P23:P60" si="18">ROUND($F23*O23,2)</f>
        <v>40833.879999999997</v>
      </c>
      <c r="Q23" s="14">
        <v>28.8</v>
      </c>
      <c r="R23" s="14">
        <f t="shared" ref="R23:R52" si="19">ROUND($F23*Q23,2)</f>
        <v>40833.879999999997</v>
      </c>
      <c r="S23" s="14">
        <v>28.8</v>
      </c>
      <c r="T23" s="14">
        <f t="shared" ref="T23:T52" si="20">ROUND($F23*S23,2)</f>
        <v>40833.879999999997</v>
      </c>
      <c r="U23" s="53">
        <f>3*28.8</f>
        <v>86.4</v>
      </c>
      <c r="V23" s="14">
        <f t="shared" ref="V23:V59" si="21">ROUND($F23*U23,2)</f>
        <v>122501.64</v>
      </c>
    </row>
    <row r="24" spans="1:23" s="17" customFormat="1" ht="22.5">
      <c r="A24" s="236" t="s">
        <v>300</v>
      </c>
      <c r="B24" s="71" t="s">
        <v>144</v>
      </c>
      <c r="C24" s="1" t="s">
        <v>6</v>
      </c>
      <c r="D24" s="1" t="s">
        <v>66</v>
      </c>
      <c r="E24" s="1"/>
      <c r="F24" s="41">
        <f>2*1366.66</f>
        <v>2733.32</v>
      </c>
      <c r="G24" s="14">
        <f>1*$C$4</f>
        <v>1</v>
      </c>
      <c r="H24" s="14">
        <f>ROUND($F24*G24,2)</f>
        <v>2733.32</v>
      </c>
      <c r="I24" s="14">
        <f>1*$C$4</f>
        <v>1</v>
      </c>
      <c r="J24" s="14">
        <f>ROUND($F24*I24,2)</f>
        <v>2733.32</v>
      </c>
      <c r="K24" s="14">
        <f>1.5*$C$4</f>
        <v>1.5</v>
      </c>
      <c r="L24" s="14">
        <f>ROUND($F24*K24,2)*1</f>
        <v>4099.9799999999996</v>
      </c>
      <c r="M24" s="14">
        <f>($M$23/28.8)*$C$4</f>
        <v>3</v>
      </c>
      <c r="N24" s="14">
        <f t="shared" si="17"/>
        <v>8199.9599999999991</v>
      </c>
      <c r="O24" s="14">
        <f>1*$C$4</f>
        <v>1</v>
      </c>
      <c r="P24" s="14">
        <f>ROUND($F24*O24,2)</f>
        <v>2733.32</v>
      </c>
      <c r="Q24" s="14">
        <f>1*$C$4</f>
        <v>1</v>
      </c>
      <c r="R24" s="14">
        <f t="shared" si="19"/>
        <v>2733.32</v>
      </c>
      <c r="S24" s="14">
        <f>(S$23/28.8)*$C$4</f>
        <v>1</v>
      </c>
      <c r="T24" s="14">
        <f t="shared" si="20"/>
        <v>2733.32</v>
      </c>
      <c r="U24" s="14">
        <f>(U$23/28.8)*$C$4</f>
        <v>3</v>
      </c>
      <c r="V24" s="14">
        <v>0</v>
      </c>
    </row>
    <row r="25" spans="1:23" s="17" customFormat="1" ht="12" customHeight="1">
      <c r="A25" s="2" t="s">
        <v>100</v>
      </c>
      <c r="B25" s="79"/>
      <c r="C25" s="1" t="s">
        <v>6</v>
      </c>
      <c r="D25" s="1" t="s">
        <v>66</v>
      </c>
      <c r="E25" s="1"/>
      <c r="F25" s="61">
        <f>'Cotações regionais'!F78</f>
        <v>2319.79</v>
      </c>
      <c r="G25" s="14"/>
      <c r="H25" s="14">
        <f>ROUND($F25*G25,2)</f>
        <v>0</v>
      </c>
      <c r="I25" s="14">
        <f>1*$C$4</f>
        <v>1</v>
      </c>
      <c r="J25" s="14">
        <f t="shared" ref="J25" si="22">ROUND($F25*I25,2)</f>
        <v>2319.79</v>
      </c>
      <c r="K25" s="14">
        <f>2*$C$4</f>
        <v>2</v>
      </c>
      <c r="L25" s="14">
        <f>ROUND($F25*K25,2)</f>
        <v>4639.58</v>
      </c>
      <c r="M25" s="14">
        <f>3*$C$4</f>
        <v>3</v>
      </c>
      <c r="N25" s="14">
        <f t="shared" si="17"/>
        <v>6959.37</v>
      </c>
      <c r="O25" s="14"/>
      <c r="P25" s="14">
        <f t="shared" si="18"/>
        <v>0</v>
      </c>
      <c r="Q25" s="14"/>
      <c r="R25" s="14">
        <f t="shared" si="19"/>
        <v>0</v>
      </c>
      <c r="S25" s="14"/>
      <c r="T25" s="14">
        <f t="shared" si="20"/>
        <v>0</v>
      </c>
      <c r="U25" s="53">
        <f>3*$C$4</f>
        <v>3</v>
      </c>
      <c r="V25" s="14">
        <f>ROUND($F25*U25,2)</f>
        <v>6959.37</v>
      </c>
    </row>
    <row r="26" spans="1:23" s="17" customFormat="1" ht="12" customHeight="1">
      <c r="A26" s="39" t="s">
        <v>101</v>
      </c>
      <c r="B26" s="72"/>
      <c r="C26" s="1" t="s">
        <v>13</v>
      </c>
      <c r="D26" s="1" t="s">
        <v>65</v>
      </c>
      <c r="E26" s="21">
        <f>Fator!$C$3</f>
        <v>1</v>
      </c>
      <c r="F26" s="140">
        <f>Fator!$D$1*E26</f>
        <v>2025.49</v>
      </c>
      <c r="G26" s="14"/>
      <c r="H26" s="14">
        <f t="shared" ref="H26" si="23">ROUND($F26*G26,2)</f>
        <v>0</v>
      </c>
      <c r="I26" s="14"/>
      <c r="J26" s="14">
        <f t="shared" ref="J26:J28" si="24">ROUND($F26*I26,2)</f>
        <v>0</v>
      </c>
      <c r="K26" s="14"/>
      <c r="L26" s="14">
        <f t="shared" ref="L26:L27" si="25">ROUND($F26*K26,2)</f>
        <v>0</v>
      </c>
      <c r="M26" s="14"/>
      <c r="N26" s="14">
        <f t="shared" ref="N26:N28" si="26">ROUND($F26*M26,2)</f>
        <v>0</v>
      </c>
      <c r="O26" s="14"/>
      <c r="P26" s="14">
        <f t="shared" ref="P26:P28" si="27">ROUND($F26*O26,2)</f>
        <v>0</v>
      </c>
      <c r="Q26" s="14"/>
      <c r="R26" s="14">
        <f t="shared" ref="R26:R28" si="28">ROUND($F26*Q26,2)</f>
        <v>0</v>
      </c>
      <c r="S26" s="14"/>
      <c r="T26" s="14">
        <f t="shared" ref="T26:T28" si="29">ROUND($F26*S26,2)</f>
        <v>0</v>
      </c>
      <c r="U26" s="53"/>
      <c r="V26" s="14">
        <f t="shared" ref="V26:V28" si="30">ROUND($F26*U26,2)</f>
        <v>0</v>
      </c>
    </row>
    <row r="27" spans="1:23" s="17" customFormat="1" ht="11.25">
      <c r="A27" s="237" t="s">
        <v>128</v>
      </c>
      <c r="B27" s="71"/>
      <c r="C27" s="1" t="s">
        <v>6</v>
      </c>
      <c r="D27" s="1" t="s">
        <v>66</v>
      </c>
      <c r="E27" s="1"/>
      <c r="F27" s="141">
        <v>1150</v>
      </c>
      <c r="G27" s="14"/>
      <c r="H27" s="14">
        <f>ROUND($F27*G27,2)</f>
        <v>0</v>
      </c>
      <c r="I27" s="14"/>
      <c r="J27" s="14">
        <f t="shared" si="24"/>
        <v>0</v>
      </c>
      <c r="K27" s="14"/>
      <c r="L27" s="14">
        <f t="shared" si="25"/>
        <v>0</v>
      </c>
      <c r="M27" s="14"/>
      <c r="N27" s="14">
        <f t="shared" si="26"/>
        <v>0</v>
      </c>
      <c r="O27" s="14"/>
      <c r="P27" s="14">
        <f>ROUND($F27*O27,2)</f>
        <v>0</v>
      </c>
      <c r="Q27" s="14"/>
      <c r="R27" s="14">
        <f t="shared" si="28"/>
        <v>0</v>
      </c>
      <c r="S27" s="14"/>
      <c r="T27" s="14">
        <f t="shared" si="29"/>
        <v>0</v>
      </c>
      <c r="U27" s="53"/>
      <c r="V27" s="14">
        <f t="shared" si="30"/>
        <v>0</v>
      </c>
    </row>
    <row r="28" spans="1:23" s="17" customFormat="1" ht="12" customHeight="1">
      <c r="A28" s="74" t="s">
        <v>32</v>
      </c>
      <c r="B28" s="80"/>
      <c r="C28" s="75" t="s">
        <v>6</v>
      </c>
      <c r="D28" s="1" t="s">
        <v>66</v>
      </c>
      <c r="E28" s="1"/>
      <c r="F28" s="61">
        <f>'Cotações regionais'!F78</f>
        <v>2319.79</v>
      </c>
      <c r="G28" s="14"/>
      <c r="H28" s="14">
        <f>ROUND($F28*G28,2)</f>
        <v>0</v>
      </c>
      <c r="I28" s="14"/>
      <c r="J28" s="14">
        <f t="shared" si="24"/>
        <v>0</v>
      </c>
      <c r="K28" s="14"/>
      <c r="L28" s="14">
        <f>ROUND($F28*K28,2)*1</f>
        <v>0</v>
      </c>
      <c r="M28" s="14"/>
      <c r="N28" s="14">
        <f t="shared" si="26"/>
        <v>0</v>
      </c>
      <c r="O28" s="14"/>
      <c r="P28" s="14">
        <f t="shared" si="27"/>
        <v>0</v>
      </c>
      <c r="Q28" s="14"/>
      <c r="R28" s="14">
        <f t="shared" si="28"/>
        <v>0</v>
      </c>
      <c r="S28" s="14"/>
      <c r="T28" s="14">
        <f t="shared" si="29"/>
        <v>0</v>
      </c>
      <c r="U28" s="53"/>
      <c r="V28" s="14">
        <f t="shared" si="30"/>
        <v>0</v>
      </c>
    </row>
    <row r="29" spans="1:23" s="17" customFormat="1" ht="12" customHeight="1">
      <c r="A29" s="39" t="s">
        <v>59</v>
      </c>
      <c r="B29" s="72"/>
      <c r="C29" s="1" t="s">
        <v>13</v>
      </c>
      <c r="D29" s="1" t="s">
        <v>65</v>
      </c>
      <c r="E29" s="21">
        <f>Fator!$C$3</f>
        <v>1</v>
      </c>
      <c r="F29" s="40">
        <f>Fator!$D$1*E29</f>
        <v>2025.49</v>
      </c>
      <c r="G29" s="14"/>
      <c r="H29" s="14">
        <f t="shared" ref="H29" si="31">ROUND($F29*G29,2)</f>
        <v>0</v>
      </c>
      <c r="I29" s="14">
        <f>ROUNDUP(I12/20,0)*Dimensionamento!$F$9</f>
        <v>120</v>
      </c>
      <c r="J29" s="14">
        <f t="shared" ref="J29" si="32">ROUND($F29*I29,2)</f>
        <v>243058.8</v>
      </c>
      <c r="K29" s="14">
        <f>ROUNDUP(K12/20,0)*Dimensionamento!$F$9</f>
        <v>210</v>
      </c>
      <c r="L29" s="14">
        <f>ROUND($F29*K29,2)*1</f>
        <v>425352.9</v>
      </c>
      <c r="M29" s="14">
        <f>ROUNDUP(M12/20,0)*Dimensionamento!$F$9</f>
        <v>300</v>
      </c>
      <c r="N29" s="14">
        <f t="shared" ref="N29:N30" si="33">ROUND($F29*M29,2)</f>
        <v>607647</v>
      </c>
      <c r="O29" s="14"/>
      <c r="P29" s="14">
        <f t="shared" ref="P29:P30" si="34">ROUND($F29*O29,2)</f>
        <v>0</v>
      </c>
      <c r="Q29" s="14"/>
      <c r="R29" s="14">
        <f t="shared" si="19"/>
        <v>0</v>
      </c>
      <c r="S29" s="14"/>
      <c r="T29" s="14">
        <f t="shared" si="20"/>
        <v>0</v>
      </c>
      <c r="U29" s="53">
        <f>ROUNDUP(U12/20,0)*Dimensionamento!$F$9</f>
        <v>240</v>
      </c>
      <c r="V29" s="14">
        <f t="shared" ref="V29:V30" si="35">ROUND($F29*U29,2)</f>
        <v>486117.6</v>
      </c>
    </row>
    <row r="30" spans="1:23" s="17" customFormat="1" ht="22.5">
      <c r="A30" s="237" t="s">
        <v>129</v>
      </c>
      <c r="B30" s="71" t="s">
        <v>145</v>
      </c>
      <c r="C30" s="1" t="s">
        <v>6</v>
      </c>
      <c r="D30" s="1" t="s">
        <v>66</v>
      </c>
      <c r="E30" s="1"/>
      <c r="F30" s="41">
        <v>1150</v>
      </c>
      <c r="G30" s="14"/>
      <c r="H30" s="14">
        <f>ROUND($F30*G30,2)</f>
        <v>0</v>
      </c>
      <c r="I30" s="14">
        <f>1*$C$4</f>
        <v>1</v>
      </c>
      <c r="J30" s="14">
        <f>ROUND($F30*I30,2)</f>
        <v>1150</v>
      </c>
      <c r="K30" s="14"/>
      <c r="L30" s="14">
        <f>ROUND($F30*K30,2)*1</f>
        <v>0</v>
      </c>
      <c r="M30" s="14"/>
      <c r="N30" s="14">
        <f t="shared" si="33"/>
        <v>0</v>
      </c>
      <c r="O30" s="14"/>
      <c r="P30" s="14">
        <f t="shared" si="34"/>
        <v>0</v>
      </c>
      <c r="Q30" s="14"/>
      <c r="R30" s="14">
        <f t="shared" si="19"/>
        <v>0</v>
      </c>
      <c r="S30" s="14"/>
      <c r="T30" s="14">
        <f t="shared" si="20"/>
        <v>0</v>
      </c>
      <c r="U30" s="53"/>
      <c r="V30" s="14">
        <f t="shared" si="35"/>
        <v>0</v>
      </c>
    </row>
    <row r="31" spans="1:23" s="17" customFormat="1" ht="12" customHeight="1">
      <c r="A31" s="81" t="s">
        <v>34</v>
      </c>
      <c r="B31" s="76"/>
      <c r="C31" s="75" t="s">
        <v>13</v>
      </c>
      <c r="D31" s="1" t="s">
        <v>65</v>
      </c>
      <c r="E31" s="21">
        <f>Fator!$C$4</f>
        <v>0.6</v>
      </c>
      <c r="F31" s="40">
        <f>Fator!$D$1*E31</f>
        <v>1215.2939999999999</v>
      </c>
      <c r="G31" s="14"/>
      <c r="H31" s="14">
        <f t="shared" si="14"/>
        <v>0</v>
      </c>
      <c r="I31" s="14">
        <f>1*28.8</f>
        <v>28.8</v>
      </c>
      <c r="J31" s="14">
        <f t="shared" ref="J31" si="36">ROUND($F31*I31,2)</f>
        <v>35000.47</v>
      </c>
      <c r="K31" s="14">
        <f>2*28.8</f>
        <v>57.6</v>
      </c>
      <c r="L31" s="14">
        <f>ROUND($F31*K31,2)*0</f>
        <v>0</v>
      </c>
      <c r="M31" s="14">
        <f>3*28.8</f>
        <v>86.4</v>
      </c>
      <c r="N31" s="14">
        <f>ROUND($F31*M31,2)*0</f>
        <v>0</v>
      </c>
      <c r="O31" s="14">
        <v>28.8</v>
      </c>
      <c r="P31" s="14">
        <f t="shared" si="18"/>
        <v>35000.47</v>
      </c>
      <c r="Q31" s="14">
        <v>28.8</v>
      </c>
      <c r="R31" s="14">
        <f t="shared" si="19"/>
        <v>35000.47</v>
      </c>
      <c r="S31" s="14">
        <v>28.8</v>
      </c>
      <c r="T31" s="14">
        <f t="shared" si="20"/>
        <v>35000.47</v>
      </c>
      <c r="U31" s="53">
        <f>3*28.8</f>
        <v>86.4</v>
      </c>
      <c r="V31" s="14">
        <f t="shared" si="21"/>
        <v>105001.4</v>
      </c>
    </row>
    <row r="32" spans="1:23" s="17" customFormat="1" ht="12" customHeight="1">
      <c r="A32" s="236" t="s">
        <v>130</v>
      </c>
      <c r="B32" s="72" t="s">
        <v>147</v>
      </c>
      <c r="C32" s="1" t="s">
        <v>6</v>
      </c>
      <c r="D32" s="1" t="s">
        <v>66</v>
      </c>
      <c r="E32" s="1"/>
      <c r="F32" s="41">
        <v>966.66</v>
      </c>
      <c r="G32" s="14"/>
      <c r="H32" s="14">
        <f t="shared" si="14"/>
        <v>0</v>
      </c>
      <c r="I32" s="14">
        <f>2*$C$4</f>
        <v>2</v>
      </c>
      <c r="J32" s="14">
        <f>ROUND($F32*I32,2)</f>
        <v>1933.32</v>
      </c>
      <c r="K32" s="14">
        <f>($K$31/14.4)*$C$4</f>
        <v>4</v>
      </c>
      <c r="L32" s="14">
        <f t="shared" ref="L32" si="37">ROUND($F32*K32,2)</f>
        <v>3866.64</v>
      </c>
      <c r="M32" s="14">
        <f>($M$31/14.4)*$C$4</f>
        <v>6</v>
      </c>
      <c r="N32" s="14">
        <f t="shared" si="17"/>
        <v>5799.96</v>
      </c>
      <c r="O32" s="14">
        <f>($O$31/14.4)*$C$4</f>
        <v>2</v>
      </c>
      <c r="P32" s="14">
        <f t="shared" si="18"/>
        <v>1933.32</v>
      </c>
      <c r="Q32" s="14">
        <f>($Q$31/14.4)*$C$4</f>
        <v>2</v>
      </c>
      <c r="R32" s="14">
        <f t="shared" si="19"/>
        <v>1933.32</v>
      </c>
      <c r="S32" s="14">
        <f>(S$31/14.4)*$C$4</f>
        <v>2</v>
      </c>
      <c r="T32" s="14">
        <f t="shared" si="20"/>
        <v>1933.32</v>
      </c>
      <c r="U32" s="14">
        <f>(U$31/14.4)*$C$4</f>
        <v>6</v>
      </c>
      <c r="V32" s="14">
        <f t="shared" ref="V32" si="38">ROUND($F32*U32,2)</f>
        <v>5799.96</v>
      </c>
    </row>
    <row r="33" spans="1:22" s="17" customFormat="1" ht="12" customHeight="1">
      <c r="A33" s="81" t="s">
        <v>72</v>
      </c>
      <c r="B33" s="76"/>
      <c r="C33" s="75" t="s">
        <v>13</v>
      </c>
      <c r="D33" s="1" t="s">
        <v>65</v>
      </c>
      <c r="E33" s="21">
        <f>Fator!$C$5</f>
        <v>0.35</v>
      </c>
      <c r="F33" s="40">
        <f>Fator!$D$1*E33</f>
        <v>708.92149999999992</v>
      </c>
      <c r="G33" s="14"/>
      <c r="H33" s="14">
        <f t="shared" si="14"/>
        <v>0</v>
      </c>
      <c r="I33" s="14">
        <f>ROUNDUP(I12/20,0)*Dimensionamento!$F$10</f>
        <v>140</v>
      </c>
      <c r="J33" s="14">
        <f t="shared" ref="J33" si="39">ROUND($F33*I33,2)</f>
        <v>99249.01</v>
      </c>
      <c r="K33" s="14">
        <f>ROUNDUP(K12/20,0)*Dimensionamento!$F$10</f>
        <v>245</v>
      </c>
      <c r="L33" s="14">
        <f>ROUND($F33*K33,2)*0</f>
        <v>0</v>
      </c>
      <c r="M33" s="14">
        <f>ROUNDUP(M12/20,0)*Dimensionamento!$F$10</f>
        <v>350</v>
      </c>
      <c r="N33" s="14">
        <f t="shared" ref="N33" si="40">ROUND($F33*M33,2)</f>
        <v>248122.53</v>
      </c>
      <c r="O33" s="14"/>
      <c r="P33" s="14">
        <f t="shared" si="18"/>
        <v>0</v>
      </c>
      <c r="Q33" s="14"/>
      <c r="R33" s="14">
        <f t="shared" si="19"/>
        <v>0</v>
      </c>
      <c r="S33" s="53">
        <f>ROUNDUP(S12/20,0)*Dimensionamento!$F$10</f>
        <v>70</v>
      </c>
      <c r="T33" s="14">
        <f t="shared" si="20"/>
        <v>49624.51</v>
      </c>
      <c r="U33" s="53">
        <f>ROUNDUP(U12/20,0)*Dimensionamento!$F$10</f>
        <v>280</v>
      </c>
      <c r="V33" s="14">
        <f t="shared" si="21"/>
        <v>198498.02</v>
      </c>
    </row>
    <row r="34" spans="1:22" s="17" customFormat="1" ht="22.5">
      <c r="A34" s="236" t="s">
        <v>156</v>
      </c>
      <c r="B34" s="72" t="s">
        <v>146</v>
      </c>
      <c r="C34" s="1" t="s">
        <v>6</v>
      </c>
      <c r="D34" s="1" t="s">
        <v>66</v>
      </c>
      <c r="E34" s="1"/>
      <c r="F34" s="141">
        <f>2*1116.66</f>
        <v>2233.3200000000002</v>
      </c>
      <c r="G34" s="14">
        <f>ROUNDUP(G12/20,0)*$C$4</f>
        <v>1</v>
      </c>
      <c r="H34" s="14">
        <f>ROUND($F34*G34,2)</f>
        <v>2233.3200000000002</v>
      </c>
      <c r="I34" s="14">
        <f>ROUNDUP(I12/20,0)*$C$4</f>
        <v>4</v>
      </c>
      <c r="J34" s="14">
        <f>ROUND($F34*I34,2)*0</f>
        <v>0</v>
      </c>
      <c r="K34" s="14">
        <f>ROUNDUP(K12/20,0)*$C$4</f>
        <v>7</v>
      </c>
      <c r="L34" s="14">
        <f>ROUND($F34*K34,2)*1</f>
        <v>15633.24</v>
      </c>
      <c r="M34" s="14">
        <f>ROUNDUP(M12/20,0)*$C$4</f>
        <v>10</v>
      </c>
      <c r="N34" s="14">
        <f>ROUND($F34*M34,2)*0</f>
        <v>0</v>
      </c>
      <c r="O34" s="14">
        <f>1*$C$4</f>
        <v>1</v>
      </c>
      <c r="P34" s="14">
        <f t="shared" si="18"/>
        <v>2233.3200000000002</v>
      </c>
      <c r="Q34" s="14">
        <f>1*$C$4</f>
        <v>1</v>
      </c>
      <c r="R34" s="14">
        <f t="shared" si="19"/>
        <v>2233.3200000000002</v>
      </c>
      <c r="S34" s="14">
        <f>ROUNDUP(S12/20,0)*$C$4</f>
        <v>2</v>
      </c>
      <c r="T34" s="14">
        <f t="shared" si="20"/>
        <v>4466.6400000000003</v>
      </c>
      <c r="U34" s="14">
        <f>ROUNDUP(U12/20,0)*$C$4</f>
        <v>8</v>
      </c>
      <c r="V34" s="14">
        <f>ROUND($F34*U34,2)*0</f>
        <v>0</v>
      </c>
    </row>
    <row r="35" spans="1:22" s="17" customFormat="1" ht="12" customHeight="1">
      <c r="A35" s="81" t="s">
        <v>492</v>
      </c>
      <c r="B35" s="76"/>
      <c r="C35" s="75" t="s">
        <v>13</v>
      </c>
      <c r="D35" s="1" t="s">
        <v>65</v>
      </c>
      <c r="E35" s="21">
        <f>Fator!$C$6</f>
        <v>0.6</v>
      </c>
      <c r="F35" s="40">
        <f>Fator!$D$1*E35</f>
        <v>1215.2939999999999</v>
      </c>
      <c r="G35" s="14"/>
      <c r="H35" s="14">
        <f t="shared" si="14"/>
        <v>0</v>
      </c>
      <c r="I35" s="14"/>
      <c r="J35" s="14">
        <f t="shared" ref="J35" si="41">ROUND($F35*I35,2)</f>
        <v>0</v>
      </c>
      <c r="K35" s="14"/>
      <c r="L35" s="14">
        <f t="shared" ref="L35" si="42">ROUND($F35*K35,2)</f>
        <v>0</v>
      </c>
      <c r="M35" s="14"/>
      <c r="N35" s="14">
        <f t="shared" ref="N35:N45" si="43">ROUND($F35*M35,2)</f>
        <v>0</v>
      </c>
      <c r="O35" s="14"/>
      <c r="P35" s="14">
        <f t="shared" si="18"/>
        <v>0</v>
      </c>
      <c r="Q35" s="14"/>
      <c r="R35" s="14">
        <f t="shared" si="19"/>
        <v>0</v>
      </c>
      <c r="S35" s="14"/>
      <c r="T35" s="14">
        <f t="shared" si="20"/>
        <v>0</v>
      </c>
      <c r="U35" s="53"/>
      <c r="V35" s="14">
        <f t="shared" si="21"/>
        <v>0</v>
      </c>
    </row>
    <row r="36" spans="1:22" s="17" customFormat="1" ht="33.75">
      <c r="A36" s="236" t="s">
        <v>302</v>
      </c>
      <c r="B36" s="72" t="s">
        <v>148</v>
      </c>
      <c r="C36" s="1" t="s">
        <v>6</v>
      </c>
      <c r="D36" s="1" t="s">
        <v>66</v>
      </c>
      <c r="E36" s="1"/>
      <c r="F36" s="41">
        <v>1726.66</v>
      </c>
      <c r="G36" s="14">
        <f>ROUNDUP((ROUNDUP(G12/20,0)*Dimensionamento!$F$7)/14.4,0)*$C$4</f>
        <v>1</v>
      </c>
      <c r="H36" s="14">
        <f>ROUND($F36*G36,2)</f>
        <v>1726.66</v>
      </c>
      <c r="I36" s="14">
        <f>ROUNDUP((ROUNDUP(I12/20,0)*Dimensionamento!$F$7)/14.4,0)*$C$4</f>
        <v>2</v>
      </c>
      <c r="J36" s="14">
        <f>ROUND($F36*I36,2)</f>
        <v>3453.32</v>
      </c>
      <c r="K36" s="14">
        <f>ROUNDUP((ROUNDUP(K12/20,0)*Dimensionamento!$F$7)/14.4,0)*$C$4</f>
        <v>3</v>
      </c>
      <c r="L36" s="14">
        <f t="shared" ref="L36:L45" si="44">ROUND($F36*K36,2)</f>
        <v>5179.9799999999996</v>
      </c>
      <c r="M36" s="14">
        <f>ROUNDUP((ROUNDUP(M12/20,0)*Dimensionamento!$F$7)/14.4,0)*$C$4</f>
        <v>3</v>
      </c>
      <c r="N36" s="14">
        <f t="shared" si="43"/>
        <v>5179.9799999999996</v>
      </c>
      <c r="O36" s="14">
        <f>1*$C$4</f>
        <v>1</v>
      </c>
      <c r="P36" s="14">
        <f t="shared" si="18"/>
        <v>1726.66</v>
      </c>
      <c r="Q36" s="14">
        <f>1*$C$4</f>
        <v>1</v>
      </c>
      <c r="R36" s="14">
        <f t="shared" si="19"/>
        <v>1726.66</v>
      </c>
      <c r="S36" s="14">
        <f>ROUNDUP((ROUNDUP(S12/20,0)*Dimensionamento!$F$7)/14.4,0)*$C$4</f>
        <v>1</v>
      </c>
      <c r="T36" s="14">
        <f t="shared" si="20"/>
        <v>1726.66</v>
      </c>
      <c r="U36" s="53">
        <f>ROUNDUP((ROUNDUP(U12/20,0)*Dimensionamento!$F$7)/14.4,0)*$C$4</f>
        <v>3</v>
      </c>
      <c r="V36" s="14">
        <f t="shared" si="21"/>
        <v>5179.9799999999996</v>
      </c>
    </row>
    <row r="37" spans="1:22" s="17" customFormat="1" ht="11.25">
      <c r="A37" s="81" t="s">
        <v>493</v>
      </c>
      <c r="B37" s="76"/>
      <c r="C37" s="75" t="s">
        <v>13</v>
      </c>
      <c r="D37" s="1" t="s">
        <v>65</v>
      </c>
      <c r="E37" s="21">
        <f>Fator!$C$6</f>
        <v>0.6</v>
      </c>
      <c r="F37" s="40">
        <f>Fator!$D$1*E37</f>
        <v>1215.2939999999999</v>
      </c>
      <c r="G37" s="14">
        <f>ROUNDUP((ROUNDUP(G12/20,0)*Dimensionamento!$F$8),0)</f>
        <v>9</v>
      </c>
      <c r="H37" s="14">
        <f>ROUND($F37*G37,2)</f>
        <v>10937.65</v>
      </c>
      <c r="I37" s="14">
        <f>ROUNDUP((ROUNDUP(I12/20,0)*Dimensionamento!$F$8),0)</f>
        <v>36</v>
      </c>
      <c r="J37" s="14">
        <f>ROUND($F37*I37,2)</f>
        <v>43750.58</v>
      </c>
      <c r="K37" s="14">
        <f>ROUNDUP((ROUNDUP(K12/20,0)*Dimensionamento!$F$8),0)</f>
        <v>63</v>
      </c>
      <c r="L37" s="14">
        <f>ROUND($F37*K37,2)</f>
        <v>76563.520000000004</v>
      </c>
      <c r="M37" s="14">
        <f>ROUNDUP((ROUNDUP(M12/20,0)*Dimensionamento!$F$8),0)</f>
        <v>90</v>
      </c>
      <c r="N37" s="14">
        <f>ROUND($F37*M37,2)</f>
        <v>109376.46</v>
      </c>
      <c r="O37" s="14">
        <f>ROUNDUP((ROUNDUP(O12/20,0)*Dimensionamento!$F$8),0)</f>
        <v>9</v>
      </c>
      <c r="P37" s="14">
        <f>ROUND($F37*O37,2)</f>
        <v>10937.65</v>
      </c>
      <c r="Q37" s="14">
        <f>ROUNDUP((ROUNDUP(Q12/20,0)*Dimensionamento!$F$8),0)</f>
        <v>9</v>
      </c>
      <c r="R37" s="14">
        <f>ROUND($F37*Q37,2)</f>
        <v>10937.65</v>
      </c>
      <c r="S37" s="14">
        <f>ROUNDUP((ROUNDUP(S12/20,0)*Dimensionamento!$F$8),0)</f>
        <v>18</v>
      </c>
      <c r="T37" s="14">
        <f>ROUND($F37*S37,2)</f>
        <v>21875.29</v>
      </c>
      <c r="U37" s="14">
        <f>ROUNDUP((ROUNDUP(U12/20,0)*Dimensionamento!$F$8),0)</f>
        <v>72</v>
      </c>
      <c r="V37" s="14">
        <f>ROUND($F37*U37,2)</f>
        <v>87501.17</v>
      </c>
    </row>
    <row r="38" spans="1:22" s="17" customFormat="1" ht="11.25">
      <c r="A38" s="238" t="s">
        <v>301</v>
      </c>
      <c r="B38" s="80"/>
      <c r="C38" s="1" t="s">
        <v>6</v>
      </c>
      <c r="D38" s="1" t="s">
        <v>66</v>
      </c>
      <c r="E38" s="1"/>
      <c r="F38" s="41">
        <v>933.33</v>
      </c>
      <c r="G38" s="14">
        <f>ROUNDUP((ROUNDUP(G12/20,0)*Dimensionamento!$F$8)/14.4,0)*$C$4</f>
        <v>1</v>
      </c>
      <c r="H38" s="14">
        <f>ROUND($F38*G38,2)</f>
        <v>933.33</v>
      </c>
      <c r="I38" s="14">
        <f>ROUNDUP((ROUNDUP(I12/20,0)*Dimensionamento!$F$8)/14.4,0)*$C$4</f>
        <v>3</v>
      </c>
      <c r="J38" s="14">
        <f>ROUND($F38*I38,2)</f>
        <v>2799.99</v>
      </c>
      <c r="K38" s="14">
        <f>ROUNDUP((ROUNDUP(K12/20,0)*Dimensionamento!$F$8)/14.4,0)*$C$4</f>
        <v>5</v>
      </c>
      <c r="L38" s="14">
        <f t="shared" ref="L38" si="45">ROUND($F38*K38,2)</f>
        <v>4666.6499999999996</v>
      </c>
      <c r="M38" s="14">
        <f>ROUNDUP((ROUNDUP(M12/20,0)*Dimensionamento!$F$8)/14.4,0)*$C$4</f>
        <v>7</v>
      </c>
      <c r="N38" s="14">
        <f t="shared" ref="N38" si="46">ROUND($F38*M38,2)</f>
        <v>6533.31</v>
      </c>
      <c r="O38" s="14">
        <f>1*$C$4</f>
        <v>1</v>
      </c>
      <c r="P38" s="14">
        <f t="shared" si="18"/>
        <v>933.33</v>
      </c>
      <c r="Q38" s="14">
        <f>1*$C$4</f>
        <v>1</v>
      </c>
      <c r="R38" s="14">
        <f t="shared" ref="R38" si="47">ROUND($F38*Q38,2)</f>
        <v>933.33</v>
      </c>
      <c r="S38" s="14">
        <f>ROUNDUP((ROUNDUP(S12/20,0)*Dimensionamento!$F$8)/14.4,0)*$C$4</f>
        <v>2</v>
      </c>
      <c r="T38" s="14">
        <f t="shared" ref="T38" si="48">ROUND($F38*S38,2)</f>
        <v>1866.66</v>
      </c>
      <c r="U38" s="14">
        <f>ROUNDUP((ROUNDUP(U12/20,0)*Dimensionamento!$F$8)/14.4,0)*$C$4</f>
        <v>5</v>
      </c>
      <c r="V38" s="14">
        <f t="shared" ref="V38" si="49">ROUND($F38*U38,2)</f>
        <v>4666.6499999999996</v>
      </c>
    </row>
    <row r="39" spans="1:22" s="17" customFormat="1" ht="11.25">
      <c r="A39" s="81" t="s">
        <v>157</v>
      </c>
      <c r="B39" s="80"/>
      <c r="C39" s="75" t="s">
        <v>13</v>
      </c>
      <c r="D39" s="1" t="s">
        <v>65</v>
      </c>
      <c r="E39" s="21">
        <f>Fator!$C$7</f>
        <v>0.6</v>
      </c>
      <c r="F39" s="40">
        <f>Fator!$D$1*E39</f>
        <v>1215.2939999999999</v>
      </c>
      <c r="G39" s="14"/>
      <c r="H39" s="14"/>
      <c r="I39" s="14">
        <f>Dimensionamento!H11</f>
        <v>12</v>
      </c>
      <c r="J39" s="14">
        <f t="shared" ref="J39:J40" si="50">ROUND($F39*I39,2)</f>
        <v>14583.53</v>
      </c>
      <c r="K39" s="14">
        <f>ROUNDUP(K12/20,0)*Dimensionamento!$F$11</f>
        <v>84</v>
      </c>
      <c r="L39" s="14">
        <f>ROUND($F39*K39,2)</f>
        <v>102084.7</v>
      </c>
      <c r="M39" s="14">
        <f>ROUNDUP(M12/20,0)*Dimensionamento!$F$11</f>
        <v>120</v>
      </c>
      <c r="N39" s="14">
        <f>ROUND($F39*M39,2)</f>
        <v>145835.28</v>
      </c>
      <c r="O39" s="14"/>
      <c r="P39" s="14"/>
      <c r="Q39" s="14"/>
      <c r="R39" s="14"/>
      <c r="S39" s="14">
        <f>ROUNDUP(S12/20,0)*Dimensionamento!$F$11</f>
        <v>24</v>
      </c>
      <c r="T39" s="14">
        <f>ROUND($F39*S39,2)</f>
        <v>29167.06</v>
      </c>
      <c r="U39" s="14">
        <f>ROUNDUP(U12/20,0)*Dimensionamento!$F$11</f>
        <v>96</v>
      </c>
      <c r="V39" s="14">
        <f>ROUND($F39*U39,2)</f>
        <v>116668.22</v>
      </c>
    </row>
    <row r="40" spans="1:22" s="17" customFormat="1" ht="12" customHeight="1">
      <c r="A40" s="81" t="s">
        <v>35</v>
      </c>
      <c r="B40" s="76"/>
      <c r="C40" s="75" t="s">
        <v>13</v>
      </c>
      <c r="D40" s="1" t="s">
        <v>65</v>
      </c>
      <c r="E40" s="21">
        <f>Fator!$C$7</f>
        <v>0.6</v>
      </c>
      <c r="F40" s="40">
        <f>Fator!$D$1*E40</f>
        <v>1215.2939999999999</v>
      </c>
      <c r="G40" s="14"/>
      <c r="H40" s="14">
        <f t="shared" si="14"/>
        <v>0</v>
      </c>
      <c r="I40" s="14">
        <f>28.8</f>
        <v>28.8</v>
      </c>
      <c r="J40" s="14">
        <f t="shared" si="50"/>
        <v>35000.47</v>
      </c>
      <c r="K40" s="14">
        <f>2*28.8</f>
        <v>57.6</v>
      </c>
      <c r="L40" s="14">
        <f>ROUND($F40*K40,2)*0</f>
        <v>0</v>
      </c>
      <c r="M40" s="14">
        <f>3*28.8</f>
        <v>86.4</v>
      </c>
      <c r="N40" s="14">
        <f t="shared" si="43"/>
        <v>105001.4</v>
      </c>
      <c r="O40" s="14">
        <f>28.8</f>
        <v>28.8</v>
      </c>
      <c r="P40" s="14">
        <f t="shared" si="18"/>
        <v>35000.47</v>
      </c>
      <c r="Q40" s="14">
        <f>28.8</f>
        <v>28.8</v>
      </c>
      <c r="R40" s="14">
        <f t="shared" si="19"/>
        <v>35000.47</v>
      </c>
      <c r="S40" s="14">
        <v>28.8</v>
      </c>
      <c r="T40" s="14">
        <f t="shared" si="20"/>
        <v>35000.47</v>
      </c>
      <c r="U40" s="53">
        <f>3*28.8</f>
        <v>86.4</v>
      </c>
      <c r="V40" s="14">
        <f>ROUND($F40*U40,2)*0</f>
        <v>0</v>
      </c>
    </row>
    <row r="41" spans="1:22" s="17" customFormat="1" ht="12" customHeight="1">
      <c r="A41" s="236" t="s">
        <v>131</v>
      </c>
      <c r="B41" s="72" t="s">
        <v>149</v>
      </c>
      <c r="C41" s="1" t="s">
        <v>6</v>
      </c>
      <c r="D41" s="1" t="s">
        <v>66</v>
      </c>
      <c r="E41" s="1"/>
      <c r="F41" s="41">
        <v>706.66</v>
      </c>
      <c r="G41" s="14">
        <f>2*$C$4</f>
        <v>2</v>
      </c>
      <c r="H41" s="14">
        <f t="shared" si="14"/>
        <v>1413.32</v>
      </c>
      <c r="I41" s="14">
        <f>2*$C$4</f>
        <v>2</v>
      </c>
      <c r="J41" s="14">
        <f>ROUND($F41*I41,2)</f>
        <v>1413.32</v>
      </c>
      <c r="K41" s="14">
        <f>($K$40/14.4)*$C$4</f>
        <v>4</v>
      </c>
      <c r="L41" s="14">
        <f t="shared" si="44"/>
        <v>2826.64</v>
      </c>
      <c r="M41" s="14">
        <f>($M$40/14.4)*$C$4</f>
        <v>6</v>
      </c>
      <c r="N41" s="14">
        <f t="shared" si="43"/>
        <v>4239.96</v>
      </c>
      <c r="O41" s="14">
        <f>($O$40/14.4)*$C$4</f>
        <v>2</v>
      </c>
      <c r="P41" s="14">
        <f t="shared" si="18"/>
        <v>1413.32</v>
      </c>
      <c r="Q41" s="14">
        <f>($Q$40/14.4)*$C$4</f>
        <v>2</v>
      </c>
      <c r="R41" s="14">
        <f t="shared" si="19"/>
        <v>1413.32</v>
      </c>
      <c r="S41" s="14">
        <f>(S$40/14.4)*$C$4</f>
        <v>2</v>
      </c>
      <c r="T41" s="14">
        <f t="shared" si="20"/>
        <v>1413.32</v>
      </c>
      <c r="U41" s="14">
        <f>(U$40/14.4)*$C$4</f>
        <v>6</v>
      </c>
      <c r="V41" s="14">
        <f t="shared" si="21"/>
        <v>4239.96</v>
      </c>
    </row>
    <row r="42" spans="1:22" s="17" customFormat="1" ht="12" customHeight="1">
      <c r="A42" s="39" t="s">
        <v>78</v>
      </c>
      <c r="B42" s="73"/>
      <c r="C42" s="1" t="s">
        <v>13</v>
      </c>
      <c r="D42" s="1" t="s">
        <v>65</v>
      </c>
      <c r="E42" s="21">
        <f>Fator!$C$8</f>
        <v>0.3</v>
      </c>
      <c r="F42" s="140">
        <f>Fator!$D$1*E42</f>
        <v>607.64699999999993</v>
      </c>
      <c r="G42" s="14"/>
      <c r="H42" s="14">
        <f>ROUND($F42*G42,2)</f>
        <v>0</v>
      </c>
      <c r="I42" s="14">
        <v>36</v>
      </c>
      <c r="J42" s="14">
        <f t="shared" ref="J42" si="51">ROUND($F42*I42,2)</f>
        <v>21875.29</v>
      </c>
      <c r="K42" s="14">
        <f>2*36</f>
        <v>72</v>
      </c>
      <c r="L42" s="14">
        <f>ROUND($F42*K42,2)*0</f>
        <v>0</v>
      </c>
      <c r="M42" s="14">
        <f>3*36</f>
        <v>108</v>
      </c>
      <c r="N42" s="14">
        <f t="shared" ref="N42" si="52">ROUND($F42*M42,2)</f>
        <v>65625.88</v>
      </c>
      <c r="O42" s="14"/>
      <c r="P42" s="14">
        <f t="shared" ref="P42" si="53">ROUND($F42*O42,2)</f>
        <v>0</v>
      </c>
      <c r="Q42" s="14"/>
      <c r="R42" s="14">
        <f t="shared" ref="R42" si="54">ROUND($F42*Q42,2)</f>
        <v>0</v>
      </c>
      <c r="S42" s="14">
        <v>36</v>
      </c>
      <c r="T42" s="14">
        <f t="shared" ref="T42" si="55">ROUND($F42*S42,2)</f>
        <v>21875.29</v>
      </c>
      <c r="U42" s="53">
        <f>3*36</f>
        <v>108</v>
      </c>
      <c r="V42" s="14">
        <f>ROUND($F42*U42,2)*0</f>
        <v>0</v>
      </c>
    </row>
    <row r="43" spans="1:22" s="17" customFormat="1" ht="22.5">
      <c r="A43" s="236" t="s">
        <v>151</v>
      </c>
      <c r="B43" s="71" t="s">
        <v>150</v>
      </c>
      <c r="C43" s="1" t="s">
        <v>6</v>
      </c>
      <c r="D43" s="1" t="s">
        <v>66</v>
      </c>
      <c r="E43" s="1"/>
      <c r="F43" s="141">
        <f>2*966.66+690</f>
        <v>2623.3199999999997</v>
      </c>
      <c r="G43" s="14"/>
      <c r="H43" s="14">
        <f t="shared" si="14"/>
        <v>0</v>
      </c>
      <c r="I43" s="14">
        <f>1*$C$4</f>
        <v>1</v>
      </c>
      <c r="J43" s="14">
        <f>ROUND($F43*I43,2)</f>
        <v>2623.32</v>
      </c>
      <c r="K43" s="14">
        <f>($K$42/36)*$C$4</f>
        <v>2</v>
      </c>
      <c r="L43" s="14">
        <f t="shared" si="44"/>
        <v>5246.64</v>
      </c>
      <c r="M43" s="14">
        <f>($M$42/36)*$C$4</f>
        <v>3</v>
      </c>
      <c r="N43" s="14">
        <f t="shared" si="43"/>
        <v>7869.96</v>
      </c>
      <c r="O43" s="14"/>
      <c r="P43" s="14">
        <f>ROUND($F43*O43,2)</f>
        <v>0</v>
      </c>
      <c r="Q43" s="14"/>
      <c r="R43" s="14">
        <f t="shared" si="19"/>
        <v>0</v>
      </c>
      <c r="S43" s="14">
        <f>(S$42/36)*$C$4</f>
        <v>1</v>
      </c>
      <c r="T43" s="14">
        <f t="shared" si="20"/>
        <v>2623.32</v>
      </c>
      <c r="U43" s="14">
        <f>(U$42/36)*$C$4</f>
        <v>3</v>
      </c>
      <c r="V43" s="14">
        <f t="shared" ref="V43" si="56">ROUND($F43*U43,2)</f>
        <v>7869.96</v>
      </c>
    </row>
    <row r="44" spans="1:22" s="17" customFormat="1" ht="22.5">
      <c r="A44" s="236" t="s">
        <v>132</v>
      </c>
      <c r="B44" s="1" t="s">
        <v>149</v>
      </c>
      <c r="C44" s="1" t="s">
        <v>6</v>
      </c>
      <c r="D44" s="1" t="s">
        <v>66</v>
      </c>
      <c r="E44" s="1"/>
      <c r="F44" s="41">
        <v>1116.6600000000001</v>
      </c>
      <c r="G44" s="14"/>
      <c r="H44" s="14">
        <f t="shared" si="14"/>
        <v>0</v>
      </c>
      <c r="I44" s="14">
        <f>2*$C$4</f>
        <v>2</v>
      </c>
      <c r="J44" s="14">
        <f>ROUND($F44*I44,2)</f>
        <v>2233.3200000000002</v>
      </c>
      <c r="K44" s="14">
        <f>2*$C$4</f>
        <v>2</v>
      </c>
      <c r="L44" s="14">
        <f t="shared" si="44"/>
        <v>2233.3200000000002</v>
      </c>
      <c r="M44" s="14">
        <f>2*$C$4</f>
        <v>2</v>
      </c>
      <c r="N44" s="14">
        <f t="shared" si="43"/>
        <v>2233.3200000000002</v>
      </c>
      <c r="O44" s="14">
        <f>2*$C$4</f>
        <v>2</v>
      </c>
      <c r="P44" s="14">
        <f t="shared" si="18"/>
        <v>2233.3200000000002</v>
      </c>
      <c r="Q44" s="14">
        <f>2*$C$4</f>
        <v>2</v>
      </c>
      <c r="R44" s="14">
        <f t="shared" si="19"/>
        <v>2233.3200000000002</v>
      </c>
      <c r="S44" s="14">
        <f>2*$C$4</f>
        <v>2</v>
      </c>
      <c r="T44" s="14">
        <f t="shared" si="20"/>
        <v>2233.3200000000002</v>
      </c>
      <c r="U44" s="53">
        <f>2*$C$4</f>
        <v>2</v>
      </c>
      <c r="V44" s="14">
        <f t="shared" ref="V44:V45" si="57">ROUND($F44*U44,2)</f>
        <v>2233.3200000000002</v>
      </c>
    </row>
    <row r="45" spans="1:22" s="17" customFormat="1" ht="12" customHeight="1">
      <c r="A45" s="236" t="s">
        <v>133</v>
      </c>
      <c r="B45" s="1" t="s">
        <v>149</v>
      </c>
      <c r="C45" s="1" t="s">
        <v>6</v>
      </c>
      <c r="D45" s="1" t="s">
        <v>66</v>
      </c>
      <c r="E45" s="1"/>
      <c r="F45" s="41">
        <v>1116.6600000000001</v>
      </c>
      <c r="G45" s="14"/>
      <c r="H45" s="14">
        <f t="shared" si="14"/>
        <v>0</v>
      </c>
      <c r="I45" s="14">
        <f>2*$C$4</f>
        <v>2</v>
      </c>
      <c r="J45" s="14">
        <f>ROUND($F45*I45,2)</f>
        <v>2233.3200000000002</v>
      </c>
      <c r="K45" s="14">
        <f>2*$C$4</f>
        <v>2</v>
      </c>
      <c r="L45" s="14">
        <f t="shared" si="44"/>
        <v>2233.3200000000002</v>
      </c>
      <c r="M45" s="14">
        <f>2*$C$4</f>
        <v>2</v>
      </c>
      <c r="N45" s="14">
        <f t="shared" si="43"/>
        <v>2233.3200000000002</v>
      </c>
      <c r="O45" s="14">
        <f>2*$C$4</f>
        <v>2</v>
      </c>
      <c r="P45" s="14">
        <f t="shared" si="18"/>
        <v>2233.3200000000002</v>
      </c>
      <c r="Q45" s="14">
        <f>2*$C$4</f>
        <v>2</v>
      </c>
      <c r="R45" s="14">
        <f t="shared" si="19"/>
        <v>2233.3200000000002</v>
      </c>
      <c r="S45" s="14">
        <f>2*$C$4</f>
        <v>2</v>
      </c>
      <c r="T45" s="14">
        <f t="shared" si="20"/>
        <v>2233.3200000000002</v>
      </c>
      <c r="U45" s="53">
        <f>2*$C$4</f>
        <v>2</v>
      </c>
      <c r="V45" s="14">
        <f t="shared" si="57"/>
        <v>2233.3200000000002</v>
      </c>
    </row>
    <row r="46" spans="1:22" s="17" customFormat="1" ht="12" customHeight="1">
      <c r="A46" s="236" t="s">
        <v>141</v>
      </c>
      <c r="B46" s="1" t="s">
        <v>149</v>
      </c>
      <c r="C46" s="1" t="s">
        <v>6</v>
      </c>
      <c r="D46" s="1" t="s">
        <v>66</v>
      </c>
      <c r="E46" s="1"/>
      <c r="F46" s="41">
        <v>825</v>
      </c>
      <c r="G46" s="14"/>
      <c r="H46" s="14">
        <f t="shared" si="14"/>
        <v>0</v>
      </c>
      <c r="I46" s="14"/>
      <c r="J46" s="14">
        <f t="shared" ref="J46" si="58">ROUND($F46*I46,2)</f>
        <v>0</v>
      </c>
      <c r="K46" s="14">
        <f>2*$C$4</f>
        <v>2</v>
      </c>
      <c r="L46" s="14">
        <f t="shared" ref="L46" si="59">ROUND($F46*K46,2)</f>
        <v>1650</v>
      </c>
      <c r="M46" s="14">
        <f>2*$C$4</f>
        <v>2</v>
      </c>
      <c r="N46" s="14">
        <f t="shared" ref="N46" si="60">ROUND($F46*M46,2)</f>
        <v>1650</v>
      </c>
      <c r="O46" s="14"/>
      <c r="P46" s="14">
        <f t="shared" si="18"/>
        <v>0</v>
      </c>
      <c r="Q46" s="14"/>
      <c r="R46" s="14">
        <f t="shared" si="19"/>
        <v>0</v>
      </c>
      <c r="S46" s="14"/>
      <c r="T46" s="14">
        <f t="shared" si="20"/>
        <v>0</v>
      </c>
      <c r="U46" s="14">
        <f>2*$C$4</f>
        <v>2</v>
      </c>
      <c r="V46" s="14">
        <f t="shared" si="21"/>
        <v>1650</v>
      </c>
    </row>
    <row r="47" spans="1:22" s="17" customFormat="1" ht="12" customHeight="1">
      <c r="A47" s="236" t="s">
        <v>134</v>
      </c>
      <c r="B47" s="1" t="s">
        <v>152</v>
      </c>
      <c r="C47" s="1" t="s">
        <v>6</v>
      </c>
      <c r="D47" s="1" t="s">
        <v>66</v>
      </c>
      <c r="E47" s="1"/>
      <c r="F47" s="41">
        <v>775</v>
      </c>
      <c r="G47" s="14">
        <f>1*$C$4</f>
        <v>1</v>
      </c>
      <c r="H47" s="14">
        <f t="shared" si="14"/>
        <v>775</v>
      </c>
      <c r="I47" s="14">
        <f>1*$C$4</f>
        <v>1</v>
      </c>
      <c r="J47" s="14">
        <f>ROUND($F47*I47,2)</f>
        <v>775</v>
      </c>
      <c r="K47" s="14">
        <f>1*$C$4</f>
        <v>1</v>
      </c>
      <c r="L47" s="14">
        <f t="shared" ref="L47:L49" si="61">ROUND($F47*K47,2)</f>
        <v>775</v>
      </c>
      <c r="M47" s="14">
        <f>1*$C$4</f>
        <v>1</v>
      </c>
      <c r="N47" s="14">
        <f t="shared" ref="N47:N60" si="62">ROUND($F47*M47,2)</f>
        <v>775</v>
      </c>
      <c r="O47" s="14">
        <f>1*$C$4</f>
        <v>1</v>
      </c>
      <c r="P47" s="14">
        <f t="shared" si="18"/>
        <v>775</v>
      </c>
      <c r="Q47" s="14">
        <f>1*$C$4</f>
        <v>1</v>
      </c>
      <c r="R47" s="14">
        <f t="shared" si="19"/>
        <v>775</v>
      </c>
      <c r="S47" s="14">
        <f>1*$C$4</f>
        <v>1</v>
      </c>
      <c r="T47" s="14">
        <f t="shared" si="20"/>
        <v>775</v>
      </c>
      <c r="U47" s="14">
        <f>1*$C$4</f>
        <v>1</v>
      </c>
      <c r="V47" s="14">
        <f t="shared" si="21"/>
        <v>775</v>
      </c>
    </row>
    <row r="48" spans="1:22" s="17" customFormat="1" ht="11.25">
      <c r="A48" s="39" t="s">
        <v>36</v>
      </c>
      <c r="B48" s="1"/>
      <c r="C48" s="1" t="s">
        <v>13</v>
      </c>
      <c r="D48" s="1" t="s">
        <v>65</v>
      </c>
      <c r="E48" s="21">
        <f>Fator!$C$8</f>
        <v>0.3</v>
      </c>
      <c r="F48" s="40">
        <f>Fator!$D$1*E48</f>
        <v>607.64699999999993</v>
      </c>
      <c r="G48" s="14"/>
      <c r="H48" s="14">
        <f t="shared" si="14"/>
        <v>0</v>
      </c>
      <c r="I48" s="14">
        <v>36</v>
      </c>
      <c r="J48" s="14">
        <f t="shared" ref="J48" si="63">ROUND($F48*I48,2)</f>
        <v>21875.29</v>
      </c>
      <c r="K48" s="14">
        <v>36</v>
      </c>
      <c r="L48" s="14">
        <f t="shared" si="61"/>
        <v>21875.29</v>
      </c>
      <c r="M48" s="14">
        <f>2*36</f>
        <v>72</v>
      </c>
      <c r="N48" s="14">
        <f t="shared" si="62"/>
        <v>43750.58</v>
      </c>
      <c r="O48" s="14"/>
      <c r="P48" s="14">
        <f t="shared" si="18"/>
        <v>0</v>
      </c>
      <c r="Q48" s="14"/>
      <c r="R48" s="14">
        <f t="shared" si="19"/>
        <v>0</v>
      </c>
      <c r="S48" s="14"/>
      <c r="T48" s="14">
        <f t="shared" si="20"/>
        <v>0</v>
      </c>
      <c r="U48" s="53">
        <f>2*36</f>
        <v>72</v>
      </c>
      <c r="V48" s="14">
        <f t="shared" si="21"/>
        <v>43750.58</v>
      </c>
    </row>
    <row r="49" spans="1:22" s="17" customFormat="1" ht="11.25">
      <c r="A49" s="39" t="s">
        <v>39</v>
      </c>
      <c r="B49" s="1"/>
      <c r="C49" s="1" t="s">
        <v>13</v>
      </c>
      <c r="D49" s="1" t="s">
        <v>65</v>
      </c>
      <c r="E49" s="21">
        <f>Fator!$C$9</f>
        <v>0.2</v>
      </c>
      <c r="F49" s="40">
        <f>Fator!$D$1*E49</f>
        <v>405.09800000000001</v>
      </c>
      <c r="G49" s="14"/>
      <c r="H49" s="14">
        <f t="shared" si="14"/>
        <v>0</v>
      </c>
      <c r="I49" s="14">
        <v>28.8</v>
      </c>
      <c r="J49" s="14">
        <f t="shared" ref="J49" si="64">ROUND($F49*I49,2)</f>
        <v>11666.82</v>
      </c>
      <c r="K49" s="14">
        <v>28.8</v>
      </c>
      <c r="L49" s="14">
        <f t="shared" si="61"/>
        <v>11666.82</v>
      </c>
      <c r="M49" s="14">
        <f>2*28.8</f>
        <v>57.6</v>
      </c>
      <c r="N49" s="14">
        <f t="shared" si="62"/>
        <v>23333.64</v>
      </c>
      <c r="O49" s="14"/>
      <c r="P49" s="14">
        <f t="shared" si="18"/>
        <v>0</v>
      </c>
      <c r="Q49" s="14"/>
      <c r="R49" s="14">
        <f t="shared" si="19"/>
        <v>0</v>
      </c>
      <c r="S49" s="14">
        <f>2*28.8</f>
        <v>57.6</v>
      </c>
      <c r="T49" s="14">
        <f t="shared" si="20"/>
        <v>23333.64</v>
      </c>
      <c r="U49" s="53">
        <f>2*28.8</f>
        <v>57.6</v>
      </c>
      <c r="V49" s="14">
        <f t="shared" ref="V49" si="65">ROUND($F49*U49,2)</f>
        <v>23333.64</v>
      </c>
    </row>
    <row r="50" spans="1:22" s="17" customFormat="1" ht="11.25">
      <c r="A50" s="221" t="s">
        <v>8</v>
      </c>
      <c r="B50" s="1"/>
      <c r="C50" s="1" t="s">
        <v>6</v>
      </c>
      <c r="D50" s="1" t="s">
        <v>66</v>
      </c>
      <c r="E50" s="1"/>
      <c r="F50" s="22">
        <v>566.66</v>
      </c>
      <c r="G50" s="14">
        <f>2*$C$4</f>
        <v>2</v>
      </c>
      <c r="H50" s="14">
        <f t="shared" si="14"/>
        <v>1133.32</v>
      </c>
      <c r="I50" s="14">
        <f>2*$C$4</f>
        <v>2</v>
      </c>
      <c r="J50" s="14">
        <f>ROUND($F50*I50,2)</f>
        <v>1133.32</v>
      </c>
      <c r="K50" s="14">
        <f>4*$C$4</f>
        <v>4</v>
      </c>
      <c r="L50" s="14">
        <f t="shared" ref="L50:L51" si="66">ROUND($F50*K50,2)</f>
        <v>2266.64</v>
      </c>
      <c r="M50" s="14">
        <f>6*$C$4</f>
        <v>6</v>
      </c>
      <c r="N50" s="14">
        <f t="shared" si="62"/>
        <v>3399.96</v>
      </c>
      <c r="O50" s="14">
        <f>2*$C$4</f>
        <v>2</v>
      </c>
      <c r="P50" s="14">
        <f>ROUND($F50*O50,2)</f>
        <v>1133.32</v>
      </c>
      <c r="Q50" s="14">
        <f>2*$C$4</f>
        <v>2</v>
      </c>
      <c r="R50" s="14">
        <f t="shared" si="19"/>
        <v>1133.32</v>
      </c>
      <c r="S50" s="14">
        <f>2*$C$4</f>
        <v>2</v>
      </c>
      <c r="T50" s="14">
        <f t="shared" si="20"/>
        <v>1133.32</v>
      </c>
      <c r="U50" s="14">
        <f>4*$C$4</f>
        <v>4</v>
      </c>
      <c r="V50" s="14">
        <f t="shared" si="21"/>
        <v>2266.64</v>
      </c>
    </row>
    <row r="51" spans="1:22" s="17" customFormat="1" ht="11.25">
      <c r="A51" s="39" t="s">
        <v>43</v>
      </c>
      <c r="B51" s="1"/>
      <c r="C51" s="1" t="s">
        <v>13</v>
      </c>
      <c r="D51" s="1" t="s">
        <v>65</v>
      </c>
      <c r="E51" s="21">
        <f>Fator!$C$10</f>
        <v>0.7</v>
      </c>
      <c r="F51" s="140">
        <f>Fator!$D$1*E51</f>
        <v>1417.8429999999998</v>
      </c>
      <c r="G51" s="14"/>
      <c r="H51" s="14">
        <f t="shared" ref="H51:H52" si="67">ROUND($F51*G51,2)</f>
        <v>0</v>
      </c>
      <c r="I51" s="14">
        <v>0</v>
      </c>
      <c r="J51" s="14">
        <f t="shared" ref="J51:J60" si="68">ROUND($F51*I51,2)</f>
        <v>0</v>
      </c>
      <c r="K51" s="14">
        <f>2*14.4</f>
        <v>28.8</v>
      </c>
      <c r="L51" s="14">
        <f t="shared" si="66"/>
        <v>40833.879999999997</v>
      </c>
      <c r="M51" s="14">
        <f>2*14.4</f>
        <v>28.8</v>
      </c>
      <c r="N51" s="14">
        <f t="shared" si="62"/>
        <v>40833.879999999997</v>
      </c>
      <c r="O51" s="14"/>
      <c r="P51" s="14">
        <f t="shared" si="18"/>
        <v>0</v>
      </c>
      <c r="Q51" s="14"/>
      <c r="R51" s="14">
        <f t="shared" si="19"/>
        <v>0</v>
      </c>
      <c r="S51" s="14"/>
      <c r="T51" s="14">
        <f t="shared" si="20"/>
        <v>0</v>
      </c>
      <c r="U51" s="53">
        <f>3*14.4</f>
        <v>43.2</v>
      </c>
      <c r="V51" s="14">
        <f t="shared" si="21"/>
        <v>61250.82</v>
      </c>
    </row>
    <row r="52" spans="1:22" s="17" customFormat="1" ht="26.25" customHeight="1">
      <c r="A52" s="236" t="s">
        <v>142</v>
      </c>
      <c r="B52" s="1" t="s">
        <v>153</v>
      </c>
      <c r="C52" s="1" t="s">
        <v>6</v>
      </c>
      <c r="D52" s="1" t="s">
        <v>66</v>
      </c>
      <c r="E52" s="1"/>
      <c r="F52" s="43">
        <v>966.66</v>
      </c>
      <c r="G52" s="14"/>
      <c r="H52" s="14">
        <f t="shared" si="67"/>
        <v>0</v>
      </c>
      <c r="I52" s="14"/>
      <c r="J52" s="14">
        <f t="shared" si="68"/>
        <v>0</v>
      </c>
      <c r="K52" s="14"/>
      <c r="L52" s="14">
        <f t="shared" ref="L52:L60" si="69">ROUND($F52*K52,2)</f>
        <v>0</v>
      </c>
      <c r="M52" s="14"/>
      <c r="N52" s="14">
        <f t="shared" si="62"/>
        <v>0</v>
      </c>
      <c r="O52" s="14"/>
      <c r="P52" s="14">
        <f t="shared" si="18"/>
        <v>0</v>
      </c>
      <c r="Q52" s="14"/>
      <c r="R52" s="14">
        <f t="shared" si="19"/>
        <v>0</v>
      </c>
      <c r="S52" s="14"/>
      <c r="T52" s="14">
        <f t="shared" si="20"/>
        <v>0</v>
      </c>
      <c r="U52" s="14">
        <f>(U$51/14.4)*$C$4</f>
        <v>3</v>
      </c>
      <c r="V52" s="14">
        <f t="shared" si="21"/>
        <v>2899.98</v>
      </c>
    </row>
    <row r="53" spans="1:22" s="17" customFormat="1" ht="22.5">
      <c r="A53" s="221" t="s">
        <v>324</v>
      </c>
      <c r="B53" s="1"/>
      <c r="C53" s="1" t="s">
        <v>11</v>
      </c>
      <c r="D53" s="1" t="s">
        <v>66</v>
      </c>
      <c r="E53" s="1"/>
      <c r="F53" s="22">
        <f>1*982.56+6*326.12+20*59.26</f>
        <v>4124.4799999999996</v>
      </c>
      <c r="G53" s="14">
        <v>1</v>
      </c>
      <c r="H53" s="14">
        <f t="shared" ref="H53" si="70">ROUND($F53*G53,2)</f>
        <v>4124.4799999999996</v>
      </c>
      <c r="I53" s="14">
        <v>1</v>
      </c>
      <c r="J53" s="14">
        <f>ROUND($F53*I53,2)</f>
        <v>4124.4799999999996</v>
      </c>
      <c r="K53" s="14"/>
      <c r="L53" s="14">
        <f t="shared" ref="L53" si="71">ROUND($F53*K53,2)</f>
        <v>0</v>
      </c>
      <c r="M53" s="14"/>
      <c r="N53" s="14">
        <f t="shared" ref="N53" si="72">ROUND($F53*M53,2)</f>
        <v>0</v>
      </c>
      <c r="O53" s="14">
        <v>1</v>
      </c>
      <c r="P53" s="14">
        <f t="shared" ref="P53" si="73">ROUND($F53*O53,2)</f>
        <v>4124.4799999999996</v>
      </c>
      <c r="Q53" s="14">
        <v>1</v>
      </c>
      <c r="R53" s="14">
        <f t="shared" ref="R53" si="74">ROUND($F53*Q53,2)</f>
        <v>4124.4799999999996</v>
      </c>
      <c r="S53" s="14"/>
      <c r="T53" s="14">
        <f t="shared" ref="T53" si="75">ROUND($F53*S53,2)</f>
        <v>0</v>
      </c>
      <c r="U53" s="14"/>
      <c r="V53" s="14">
        <f t="shared" ref="V53" si="76">ROUND($F53*U53,2)</f>
        <v>0</v>
      </c>
    </row>
    <row r="54" spans="1:22" s="17" customFormat="1" ht="11.25">
      <c r="A54" s="221" t="s">
        <v>7</v>
      </c>
      <c r="B54" s="1"/>
      <c r="C54" s="1" t="s">
        <v>11</v>
      </c>
      <c r="D54" s="1" t="s">
        <v>66</v>
      </c>
      <c r="E54" s="1"/>
      <c r="F54" s="22">
        <f>8150+9475+4200</f>
        <v>21825</v>
      </c>
      <c r="G54" s="14"/>
      <c r="H54" s="14">
        <f t="shared" si="14"/>
        <v>0</v>
      </c>
      <c r="I54" s="14"/>
      <c r="J54" s="14">
        <f t="shared" si="68"/>
        <v>0</v>
      </c>
      <c r="K54" s="14">
        <v>1</v>
      </c>
      <c r="L54" s="14">
        <f t="shared" si="69"/>
        <v>21825</v>
      </c>
      <c r="M54" s="14">
        <v>1</v>
      </c>
      <c r="N54" s="14">
        <f t="shared" si="62"/>
        <v>21825</v>
      </c>
      <c r="O54" s="14"/>
      <c r="P54" s="14"/>
      <c r="Q54" s="14"/>
      <c r="R54" s="14">
        <f t="shared" ref="R54:R60" si="77">ROUND($F54*Q54,2)</f>
        <v>0</v>
      </c>
      <c r="S54" s="14"/>
      <c r="T54" s="14">
        <f t="shared" ref="T54:T59" si="78">ROUND($F54*S54,2)</f>
        <v>0</v>
      </c>
      <c r="U54" s="14">
        <v>1</v>
      </c>
      <c r="V54" s="14">
        <f t="shared" si="21"/>
        <v>21825</v>
      </c>
    </row>
    <row r="55" spans="1:22" s="17" customFormat="1" ht="11.25">
      <c r="A55" s="2" t="s">
        <v>37</v>
      </c>
      <c r="B55" s="1"/>
      <c r="C55" s="1" t="s">
        <v>11</v>
      </c>
      <c r="D55" s="1" t="s">
        <v>64</v>
      </c>
      <c r="E55" s="1" t="s">
        <v>73</v>
      </c>
      <c r="F55" s="139">
        <v>22196.2</v>
      </c>
      <c r="G55" s="14"/>
      <c r="H55" s="14">
        <f t="shared" si="14"/>
        <v>0</v>
      </c>
      <c r="I55" s="14"/>
      <c r="J55" s="14">
        <f t="shared" si="68"/>
        <v>0</v>
      </c>
      <c r="K55" s="14">
        <v>1</v>
      </c>
      <c r="L55" s="14">
        <f t="shared" si="69"/>
        <v>22196.2</v>
      </c>
      <c r="M55" s="14">
        <v>1</v>
      </c>
      <c r="N55" s="14">
        <f t="shared" si="62"/>
        <v>22196.2</v>
      </c>
      <c r="O55" s="14"/>
      <c r="P55" s="14"/>
      <c r="Q55" s="14"/>
      <c r="R55" s="14">
        <f t="shared" si="77"/>
        <v>0</v>
      </c>
      <c r="S55" s="14"/>
      <c r="T55" s="14">
        <f t="shared" si="78"/>
        <v>0</v>
      </c>
      <c r="U55" s="14">
        <v>1</v>
      </c>
      <c r="V55" s="14">
        <f t="shared" si="21"/>
        <v>22196.2</v>
      </c>
    </row>
    <row r="56" spans="1:22" s="17" customFormat="1" ht="11.25">
      <c r="A56" s="221" t="s">
        <v>38</v>
      </c>
      <c r="B56" s="1"/>
      <c r="C56" s="1" t="s">
        <v>11</v>
      </c>
      <c r="D56" s="1" t="s">
        <v>66</v>
      </c>
      <c r="E56" s="1"/>
      <c r="F56" s="22">
        <v>1356.35</v>
      </c>
      <c r="G56" s="14"/>
      <c r="H56" s="14">
        <f t="shared" si="14"/>
        <v>0</v>
      </c>
      <c r="I56" s="14">
        <v>1</v>
      </c>
      <c r="J56" s="14">
        <f t="shared" si="68"/>
        <v>1356.35</v>
      </c>
      <c r="K56" s="14">
        <v>1</v>
      </c>
      <c r="L56" s="14">
        <f t="shared" si="69"/>
        <v>1356.35</v>
      </c>
      <c r="M56" s="14">
        <v>1</v>
      </c>
      <c r="N56" s="14">
        <f t="shared" si="62"/>
        <v>1356.35</v>
      </c>
      <c r="O56" s="14">
        <v>1</v>
      </c>
      <c r="P56" s="14">
        <f t="shared" si="18"/>
        <v>1356.35</v>
      </c>
      <c r="Q56" s="14">
        <v>1</v>
      </c>
      <c r="R56" s="14">
        <f t="shared" si="77"/>
        <v>1356.35</v>
      </c>
      <c r="S56" s="14">
        <v>1</v>
      </c>
      <c r="T56" s="14">
        <f t="shared" si="78"/>
        <v>1356.35</v>
      </c>
      <c r="U56" s="14">
        <v>1</v>
      </c>
      <c r="V56" s="14">
        <f t="shared" si="21"/>
        <v>1356.35</v>
      </c>
    </row>
    <row r="57" spans="1:22" s="17" customFormat="1" ht="11.25">
      <c r="A57" s="42" t="s">
        <v>12</v>
      </c>
      <c r="B57" s="1"/>
      <c r="C57" s="1" t="s">
        <v>11</v>
      </c>
      <c r="D57" s="1" t="s">
        <v>65</v>
      </c>
      <c r="E57" s="21">
        <f>Fator!$C$11</f>
        <v>1.3</v>
      </c>
      <c r="F57" s="140">
        <f>Fator!$D$1*E57</f>
        <v>2633.1370000000002</v>
      </c>
      <c r="G57" s="14"/>
      <c r="H57" s="14">
        <f t="shared" si="14"/>
        <v>0</v>
      </c>
      <c r="I57" s="14">
        <v>1</v>
      </c>
      <c r="J57" s="14">
        <f t="shared" si="68"/>
        <v>2633.14</v>
      </c>
      <c r="K57" s="14">
        <v>1</v>
      </c>
      <c r="L57" s="14">
        <f t="shared" si="69"/>
        <v>2633.14</v>
      </c>
      <c r="M57" s="14">
        <v>1</v>
      </c>
      <c r="N57" s="14">
        <f t="shared" si="62"/>
        <v>2633.14</v>
      </c>
      <c r="O57" s="14">
        <v>1</v>
      </c>
      <c r="P57" s="14">
        <f t="shared" si="18"/>
        <v>2633.14</v>
      </c>
      <c r="Q57" s="14">
        <v>1</v>
      </c>
      <c r="R57" s="14">
        <f t="shared" si="77"/>
        <v>2633.14</v>
      </c>
      <c r="S57" s="14">
        <v>1</v>
      </c>
      <c r="T57" s="14">
        <f t="shared" si="78"/>
        <v>2633.14</v>
      </c>
      <c r="U57" s="14">
        <v>1</v>
      </c>
      <c r="V57" s="14">
        <f t="shared" si="21"/>
        <v>2633.14</v>
      </c>
    </row>
    <row r="58" spans="1:22" s="17" customFormat="1" ht="11.25">
      <c r="A58" s="42" t="s">
        <v>10</v>
      </c>
      <c r="B58" s="1"/>
      <c r="C58" s="1" t="s">
        <v>11</v>
      </c>
      <c r="D58" s="1" t="s">
        <v>65</v>
      </c>
      <c r="E58" s="21">
        <f>Fator!$C$12</f>
        <v>1.3</v>
      </c>
      <c r="F58" s="140">
        <f>Fator!$D$1*E58</f>
        <v>2633.1370000000002</v>
      </c>
      <c r="G58" s="14"/>
      <c r="H58" s="14">
        <f t="shared" si="14"/>
        <v>0</v>
      </c>
      <c r="I58" s="14">
        <v>1</v>
      </c>
      <c r="J58" s="14">
        <f t="shared" si="68"/>
        <v>2633.14</v>
      </c>
      <c r="K58" s="14">
        <v>1</v>
      </c>
      <c r="L58" s="14">
        <f t="shared" si="69"/>
        <v>2633.14</v>
      </c>
      <c r="M58" s="14">
        <v>1</v>
      </c>
      <c r="N58" s="14">
        <f t="shared" si="62"/>
        <v>2633.14</v>
      </c>
      <c r="O58" s="14">
        <v>1</v>
      </c>
      <c r="P58" s="14">
        <f t="shared" si="18"/>
        <v>2633.14</v>
      </c>
      <c r="Q58" s="14">
        <v>1</v>
      </c>
      <c r="R58" s="14">
        <f t="shared" si="77"/>
        <v>2633.14</v>
      </c>
      <c r="S58" s="14">
        <v>1</v>
      </c>
      <c r="T58" s="14">
        <f t="shared" si="78"/>
        <v>2633.14</v>
      </c>
      <c r="U58" s="14">
        <v>1</v>
      </c>
      <c r="V58" s="14">
        <f t="shared" si="21"/>
        <v>2633.14</v>
      </c>
    </row>
    <row r="59" spans="1:22" s="17" customFormat="1" ht="11.25">
      <c r="A59" s="42" t="s">
        <v>40</v>
      </c>
      <c r="B59" s="1"/>
      <c r="C59" s="1" t="s">
        <v>11</v>
      </c>
      <c r="D59" s="1" t="s">
        <v>65</v>
      </c>
      <c r="E59" s="21">
        <f>Fator!$C$13</f>
        <v>4</v>
      </c>
      <c r="F59" s="140">
        <f>Fator!$D$1*E59</f>
        <v>8101.96</v>
      </c>
      <c r="G59" s="14"/>
      <c r="H59" s="14">
        <f t="shared" si="14"/>
        <v>0</v>
      </c>
      <c r="I59" s="14">
        <v>1</v>
      </c>
      <c r="J59" s="14">
        <f t="shared" si="68"/>
        <v>8101.96</v>
      </c>
      <c r="K59" s="14">
        <v>1</v>
      </c>
      <c r="L59" s="14">
        <f t="shared" si="69"/>
        <v>8101.96</v>
      </c>
      <c r="M59" s="14">
        <v>1</v>
      </c>
      <c r="N59" s="14">
        <f t="shared" si="62"/>
        <v>8101.96</v>
      </c>
      <c r="O59" s="14">
        <v>1</v>
      </c>
      <c r="P59" s="14">
        <f t="shared" si="18"/>
        <v>8101.96</v>
      </c>
      <c r="Q59" s="14">
        <v>1</v>
      </c>
      <c r="R59" s="14">
        <f t="shared" si="77"/>
        <v>8101.96</v>
      </c>
      <c r="S59" s="14">
        <v>1</v>
      </c>
      <c r="T59" s="14">
        <f t="shared" si="78"/>
        <v>8101.96</v>
      </c>
      <c r="U59" s="14">
        <v>1</v>
      </c>
      <c r="V59" s="14">
        <f t="shared" si="21"/>
        <v>8101.96</v>
      </c>
    </row>
    <row r="60" spans="1:22" s="17" customFormat="1" ht="11.25">
      <c r="A60" s="2" t="s">
        <v>124</v>
      </c>
      <c r="B60" s="1"/>
      <c r="C60" s="1" t="s">
        <v>6</v>
      </c>
      <c r="D60" s="1" t="s">
        <v>66</v>
      </c>
      <c r="E60" s="1"/>
      <c r="F60" s="209">
        <f>G10*'Cotações regionais'!I78</f>
        <v>632</v>
      </c>
      <c r="G60" s="14">
        <f>1*$C$4</f>
        <v>1</v>
      </c>
      <c r="H60" s="14">
        <f>ROUND($F60*G60,2)</f>
        <v>632</v>
      </c>
      <c r="I60" s="14">
        <f>1*$C$4</f>
        <v>1</v>
      </c>
      <c r="J60" s="14">
        <f t="shared" si="68"/>
        <v>632</v>
      </c>
      <c r="K60" s="14">
        <f>1*$C$4</f>
        <v>1</v>
      </c>
      <c r="L60" s="14">
        <f t="shared" si="69"/>
        <v>632</v>
      </c>
      <c r="M60" s="14">
        <f>1*$C$4</f>
        <v>1</v>
      </c>
      <c r="N60" s="14">
        <f t="shared" si="62"/>
        <v>632</v>
      </c>
      <c r="O60" s="14">
        <f>1*$C$4</f>
        <v>1</v>
      </c>
      <c r="P60" s="14">
        <f t="shared" si="18"/>
        <v>632</v>
      </c>
      <c r="Q60" s="14">
        <f>1*$C$4</f>
        <v>1</v>
      </c>
      <c r="R60" s="14">
        <f t="shared" si="77"/>
        <v>632</v>
      </c>
      <c r="S60" s="14"/>
      <c r="T60" s="14"/>
      <c r="U60" s="14"/>
      <c r="V60" s="14"/>
    </row>
    <row r="61" spans="1:22" s="17" customFormat="1" ht="11.25">
      <c r="A61" s="246" t="s">
        <v>4</v>
      </c>
      <c r="B61" s="247"/>
      <c r="C61" s="247"/>
      <c r="D61" s="247"/>
      <c r="E61" s="247"/>
      <c r="F61" s="248"/>
      <c r="G61" s="241">
        <f>SUM(H14:H60)-H18-H20</f>
        <v>49710.400000000009</v>
      </c>
      <c r="H61" s="242"/>
      <c r="I61" s="241">
        <f>SUM(J14:J60)-J18-J20</f>
        <v>654490.14999999967</v>
      </c>
      <c r="J61" s="242"/>
      <c r="K61" s="241">
        <f t="shared" ref="K61" si="79">SUM(L14:L60)-L18-L20</f>
        <v>930475.68999999983</v>
      </c>
      <c r="L61" s="242"/>
      <c r="M61" s="241">
        <f t="shared" ref="M61" si="80">SUM(N14:N60)-N18-N20</f>
        <v>1688087.0299999998</v>
      </c>
      <c r="N61" s="242"/>
      <c r="O61" s="241">
        <f>SUM(P14:P60)-P18-P20</f>
        <v>187880.67000000007</v>
      </c>
      <c r="P61" s="242"/>
      <c r="Q61" s="241">
        <f t="shared" ref="Q61" si="81">SUM(R14:R60)-R18-R20</f>
        <v>184775.22000000009</v>
      </c>
      <c r="R61" s="242"/>
      <c r="S61" s="241">
        <f t="shared" ref="S61" si="82">SUM(T14:T60)-T18-T20</f>
        <v>327764.20000000013</v>
      </c>
      <c r="T61" s="242"/>
      <c r="U61" s="241">
        <f>SUM(V14:V60)-V18-V20</f>
        <v>1409104.2199999995</v>
      </c>
      <c r="V61" s="242"/>
    </row>
    <row r="62" spans="1:22" s="17" customFormat="1" ht="11.25">
      <c r="A62" s="246" t="s">
        <v>17</v>
      </c>
      <c r="B62" s="247"/>
      <c r="C62" s="247"/>
      <c r="D62" s="247"/>
      <c r="E62" s="247"/>
      <c r="F62" s="248" t="s">
        <v>16</v>
      </c>
      <c r="G62" s="241">
        <f>ROUND(G61*5%,2)</f>
        <v>2485.52</v>
      </c>
      <c r="H62" s="242"/>
      <c r="I62" s="241">
        <f>ROUND(I61*5%,2)</f>
        <v>32724.51</v>
      </c>
      <c r="J62" s="242"/>
      <c r="K62" s="241">
        <f>ROUND(K61*5%,2)</f>
        <v>46523.78</v>
      </c>
      <c r="L62" s="242"/>
      <c r="M62" s="241">
        <f>ROUND(M61*5%,2)</f>
        <v>84404.35</v>
      </c>
      <c r="N62" s="242"/>
      <c r="O62" s="241">
        <f>ROUND(O61*5%,2)</f>
        <v>9394.0300000000007</v>
      </c>
      <c r="P62" s="242"/>
      <c r="Q62" s="241">
        <f>ROUND(Q61*5%,2)</f>
        <v>9238.76</v>
      </c>
      <c r="R62" s="242"/>
      <c r="S62" s="241">
        <f>ROUND(S61*5%,2)</f>
        <v>16388.21</v>
      </c>
      <c r="T62" s="242"/>
      <c r="U62" s="241">
        <f>ROUND(U61*5%,2)</f>
        <v>70455.210000000006</v>
      </c>
      <c r="V62" s="242"/>
    </row>
    <row r="63" spans="1:22" s="17" customFormat="1" ht="11.25">
      <c r="A63" s="47"/>
      <c r="B63" s="63"/>
      <c r="C63" s="48"/>
      <c r="D63" s="48"/>
      <c r="E63" s="48"/>
      <c r="F63" s="49" t="s">
        <v>125</v>
      </c>
      <c r="G63" s="241">
        <f>G61+G62</f>
        <v>52195.920000000006</v>
      </c>
      <c r="H63" s="242"/>
      <c r="I63" s="241">
        <f>I61+I62</f>
        <v>687214.65999999968</v>
      </c>
      <c r="J63" s="242"/>
      <c r="K63" s="241">
        <f>K61+K62</f>
        <v>976999.46999999986</v>
      </c>
      <c r="L63" s="242"/>
      <c r="M63" s="241">
        <f>M61+M62</f>
        <v>1772491.38</v>
      </c>
      <c r="N63" s="242"/>
      <c r="O63" s="241">
        <f>O61+O62</f>
        <v>197274.70000000007</v>
      </c>
      <c r="P63" s="242"/>
      <c r="Q63" s="241">
        <f>Q61+Q62</f>
        <v>194013.9800000001</v>
      </c>
      <c r="R63" s="242"/>
      <c r="S63" s="241">
        <f>S61+S62</f>
        <v>344152.41000000015</v>
      </c>
      <c r="T63" s="242"/>
      <c r="U63" s="241">
        <f>U61+U62</f>
        <v>1479559.4299999995</v>
      </c>
      <c r="V63" s="242"/>
    </row>
    <row r="64" spans="1:22" s="17" customFormat="1" ht="11.25">
      <c r="A64" s="246" t="s">
        <v>299</v>
      </c>
      <c r="B64" s="247"/>
      <c r="C64" s="247"/>
      <c r="D64" s="247"/>
      <c r="E64" s="247"/>
      <c r="F64" s="208"/>
      <c r="G64" s="244">
        <f>TRUNC(G63*$F$64,2)</f>
        <v>0</v>
      </c>
      <c r="H64" s="245"/>
      <c r="I64" s="244">
        <f t="shared" ref="I64" si="83">TRUNC(I63*$F$64,2)</f>
        <v>0</v>
      </c>
      <c r="J64" s="245"/>
      <c r="K64" s="244">
        <f t="shared" ref="K64" si="84">TRUNC(K63*$F$64,2)</f>
        <v>0</v>
      </c>
      <c r="L64" s="245"/>
      <c r="M64" s="244">
        <f t="shared" ref="M64" si="85">TRUNC(M63*$F$64,2)</f>
        <v>0</v>
      </c>
      <c r="N64" s="245"/>
      <c r="O64" s="244">
        <f t="shared" ref="O64" si="86">TRUNC(O63*$F$64,2)</f>
        <v>0</v>
      </c>
      <c r="P64" s="245"/>
      <c r="Q64" s="244">
        <f t="shared" ref="Q64" si="87">TRUNC(Q63*$F$64,2)</f>
        <v>0</v>
      </c>
      <c r="R64" s="245"/>
      <c r="S64" s="244">
        <f t="shared" ref="S64" si="88">TRUNC(S63*$F$64,2)</f>
        <v>0</v>
      </c>
      <c r="T64" s="245"/>
      <c r="U64" s="244">
        <f t="shared" ref="U64" si="89">TRUNC(U63*$F$64,2)</f>
        <v>0</v>
      </c>
      <c r="V64" s="245"/>
    </row>
    <row r="65" spans="1:22" s="17" customFormat="1" ht="11.25">
      <c r="A65" s="246" t="s">
        <v>14</v>
      </c>
      <c r="B65" s="247"/>
      <c r="C65" s="247"/>
      <c r="D65" s="247"/>
      <c r="E65" s="247"/>
      <c r="F65" s="248"/>
      <c r="G65" s="241">
        <f>G63+G64</f>
        <v>52195.920000000006</v>
      </c>
      <c r="H65" s="242"/>
      <c r="I65" s="241">
        <f>I63+I64</f>
        <v>687214.65999999968</v>
      </c>
      <c r="J65" s="242"/>
      <c r="K65" s="241">
        <f>K63+K64</f>
        <v>976999.46999999986</v>
      </c>
      <c r="L65" s="242"/>
      <c r="M65" s="241">
        <f>M63+M64</f>
        <v>1772491.38</v>
      </c>
      <c r="N65" s="242"/>
      <c r="O65" s="241">
        <f>O63+O64</f>
        <v>197274.70000000007</v>
      </c>
      <c r="P65" s="242"/>
      <c r="Q65" s="241">
        <f>Q63+Q64</f>
        <v>194013.9800000001</v>
      </c>
      <c r="R65" s="242"/>
      <c r="S65" s="241">
        <f>S63+S64</f>
        <v>344152.41000000015</v>
      </c>
      <c r="T65" s="242"/>
      <c r="U65" s="241">
        <f>U63+U64</f>
        <v>1479559.4299999995</v>
      </c>
      <c r="V65" s="242"/>
    </row>
    <row r="66" spans="1:22">
      <c r="A66" s="12"/>
      <c r="B66" s="23"/>
      <c r="C66" s="12"/>
      <c r="D66" s="12"/>
      <c r="E66" s="12"/>
      <c r="F66" s="23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</row>
    <row r="67" spans="1:22" ht="13.5" customHeight="1">
      <c r="A67" s="12" t="s">
        <v>15</v>
      </c>
      <c r="B67" s="23"/>
      <c r="C67" s="12"/>
      <c r="D67" s="12"/>
      <c r="E67" s="12"/>
      <c r="F67" s="23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</row>
    <row r="68" spans="1:22">
      <c r="A68" s="12" t="s">
        <v>44</v>
      </c>
      <c r="B68" s="23"/>
      <c r="C68" s="12"/>
      <c r="D68" s="12"/>
      <c r="E68" s="12"/>
      <c r="F68" s="23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</row>
    <row r="69" spans="1:22">
      <c r="A69" s="12" t="s">
        <v>26</v>
      </c>
      <c r="B69" s="23"/>
      <c r="C69" s="12"/>
      <c r="D69" s="12"/>
      <c r="E69" s="12"/>
      <c r="F69" s="23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</row>
    <row r="70" spans="1:22">
      <c r="A70" s="12" t="s">
        <v>42</v>
      </c>
      <c r="B70" s="23"/>
      <c r="C70" s="12"/>
      <c r="D70" s="12"/>
      <c r="E70" s="12"/>
      <c r="F70" s="23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</row>
    <row r="71" spans="1:22">
      <c r="A71" s="15" t="s">
        <v>76</v>
      </c>
      <c r="C71" s="12"/>
      <c r="D71" s="12"/>
      <c r="E71" s="12"/>
      <c r="F71" s="23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</row>
    <row r="72" spans="1:22">
      <c r="A72" s="12" t="s">
        <v>46</v>
      </c>
      <c r="B72" s="23"/>
      <c r="C72" s="12"/>
      <c r="D72" s="12"/>
      <c r="E72" s="12"/>
      <c r="F72" s="23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</row>
    <row r="73" spans="1:22">
      <c r="A73" s="12" t="s">
        <v>45</v>
      </c>
      <c r="B73" s="23"/>
      <c r="C73" s="12"/>
      <c r="D73" s="12"/>
      <c r="E73" s="12"/>
      <c r="F73" s="23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</row>
    <row r="74" spans="1:22">
      <c r="A74" s="12" t="s">
        <v>77</v>
      </c>
      <c r="B74" s="23"/>
      <c r="C74" s="12"/>
      <c r="D74" s="12"/>
      <c r="E74" s="12"/>
      <c r="F74" s="23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</row>
    <row r="75" spans="1:22">
      <c r="A75" s="12" t="s">
        <v>47</v>
      </c>
      <c r="B75" s="23"/>
      <c r="C75" s="12"/>
      <c r="D75" s="12"/>
      <c r="E75" s="12"/>
      <c r="F75" s="23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</row>
    <row r="76" spans="1:22">
      <c r="A76" s="12" t="s">
        <v>48</v>
      </c>
      <c r="B76" s="23"/>
      <c r="C76" s="12"/>
      <c r="D76" s="12"/>
      <c r="E76" s="12"/>
      <c r="F76" s="23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</row>
    <row r="77" spans="1:22">
      <c r="A77" s="15" t="s">
        <v>104</v>
      </c>
    </row>
  </sheetData>
  <mergeCells count="68">
    <mergeCell ref="A2:F2"/>
    <mergeCell ref="U6:V6"/>
    <mergeCell ref="U7:V7"/>
    <mergeCell ref="U8:V8"/>
    <mergeCell ref="O7:P7"/>
    <mergeCell ref="O8:P8"/>
    <mergeCell ref="Q7:R7"/>
    <mergeCell ref="Q8:R8"/>
    <mergeCell ref="S7:T7"/>
    <mergeCell ref="S8:T8"/>
    <mergeCell ref="I6:N6"/>
    <mergeCell ref="I7:J7"/>
    <mergeCell ref="I8:J8"/>
    <mergeCell ref="K7:L7"/>
    <mergeCell ref="K8:L8"/>
    <mergeCell ref="A7:B7"/>
    <mergeCell ref="M65:N65"/>
    <mergeCell ref="O65:P65"/>
    <mergeCell ref="A62:F62"/>
    <mergeCell ref="O64:P64"/>
    <mergeCell ref="O62:P62"/>
    <mergeCell ref="A65:F65"/>
    <mergeCell ref="G65:H65"/>
    <mergeCell ref="I65:J65"/>
    <mergeCell ref="K65:L65"/>
    <mergeCell ref="G64:H64"/>
    <mergeCell ref="I64:J64"/>
    <mergeCell ref="M64:N64"/>
    <mergeCell ref="K64:L64"/>
    <mergeCell ref="M62:N62"/>
    <mergeCell ref="A64:E64"/>
    <mergeCell ref="G62:H62"/>
    <mergeCell ref="I62:J62"/>
    <mergeCell ref="K62:L62"/>
    <mergeCell ref="M61:N61"/>
    <mergeCell ref="C7:C9"/>
    <mergeCell ref="F7:F9"/>
    <mergeCell ref="D7:E9"/>
    <mergeCell ref="G8:H8"/>
    <mergeCell ref="G7:H7"/>
    <mergeCell ref="M7:N7"/>
    <mergeCell ref="M8:N8"/>
    <mergeCell ref="O61:P61"/>
    <mergeCell ref="A61:F61"/>
    <mergeCell ref="G61:H61"/>
    <mergeCell ref="I61:J61"/>
    <mergeCell ref="K61:L61"/>
    <mergeCell ref="C6:E6"/>
    <mergeCell ref="U65:V65"/>
    <mergeCell ref="U64:V64"/>
    <mergeCell ref="U62:V62"/>
    <mergeCell ref="U61:V61"/>
    <mergeCell ref="Q61:R61"/>
    <mergeCell ref="Q62:R62"/>
    <mergeCell ref="Q64:R64"/>
    <mergeCell ref="Q65:R65"/>
    <mergeCell ref="S61:T61"/>
    <mergeCell ref="S62:T62"/>
    <mergeCell ref="S64:T64"/>
    <mergeCell ref="S65:T65"/>
    <mergeCell ref="Q63:R63"/>
    <mergeCell ref="S63:T63"/>
    <mergeCell ref="U63:V63"/>
    <mergeCell ref="G63:H63"/>
    <mergeCell ref="I63:J63"/>
    <mergeCell ref="K63:L63"/>
    <mergeCell ref="M63:N63"/>
    <mergeCell ref="O63:P63"/>
  </mergeCells>
  <printOptions horizontalCentered="1" verticalCentered="1"/>
  <pageMargins left="0" right="0" top="0" bottom="0" header="0" footer="0"/>
  <pageSetup paperSize="9" scale="85" orientation="portrait" r:id="rId1"/>
  <ignoredErrors>
    <ignoredError sqref="T29 V33 T40:T41 V35:V36 V54:V55 V51:V52 T24 H40:H41 H51:H52 H33 H54:H59 J24 J40:J41 J35:J36 J33 J54:J55 L41 L51 N23:N24 N40:N41 N51 N33 P56:P59 P40:P41 P33:P36 P48:P49 P29 R24 R40:R41 R33:R36 H21:N21 R29 R56:V58 T33:T36 Q14:V16 H14:O15 L53 I51:J51 J48:J50 R54:R55 T54:T55 H35 J52 V41 N35:N36 L35:L36 P21:T21 P51:P53 H16 J16 L16 N16:O16 T31:T32 R31:R32 P31:P32 N32 L32 J31:J32 H31:H32 V31:V32 T43:T47 R43:R47 J43:J47 P44:P47 N43:N47 L43:L47 H43:H47 V43:V47 T48:T50 R48:R50 N48:N50 L48:L50 H48:H50 V48:V50 T51:T53 R51:R53 N54:N59 L54:L59 J56:J59 T59 R59 V59 L52 N53 N5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3"/>
  <sheetViews>
    <sheetView zoomScale="160" zoomScaleNormal="160" workbookViewId="0">
      <selection activeCell="A6" sqref="A6"/>
    </sheetView>
  </sheetViews>
  <sheetFormatPr defaultRowHeight="12"/>
  <cols>
    <col min="1" max="1" width="40.1640625" style="7" customWidth="1"/>
    <col min="2" max="2" width="10.83203125" style="8" customWidth="1"/>
    <col min="3" max="3" width="9.33203125" style="8"/>
    <col min="4" max="4" width="9.33203125" style="7"/>
    <col min="5" max="5" width="4.83203125" style="7" customWidth="1"/>
    <col min="6" max="16384" width="9.33203125" style="7"/>
  </cols>
  <sheetData>
    <row r="1" spans="1:4">
      <c r="A1" s="9" t="s">
        <v>5</v>
      </c>
      <c r="B1" s="9" t="s">
        <v>2</v>
      </c>
      <c r="C1" s="58" t="s">
        <v>70</v>
      </c>
      <c r="D1" s="60">
        <v>2025.49</v>
      </c>
    </row>
    <row r="2" spans="1:4">
      <c r="A2" s="10" t="s">
        <v>31</v>
      </c>
      <c r="B2" s="11" t="s">
        <v>13</v>
      </c>
      <c r="C2" s="19">
        <v>0.7</v>
      </c>
      <c r="D2" s="59">
        <f t="shared" ref="D2:D12" si="0">C2*$D$1</f>
        <v>1417.8429999999998</v>
      </c>
    </row>
    <row r="3" spans="1:4">
      <c r="A3" s="10" t="s">
        <v>59</v>
      </c>
      <c r="B3" s="11" t="s">
        <v>13</v>
      </c>
      <c r="C3" s="19">
        <v>1</v>
      </c>
      <c r="D3" s="59">
        <f t="shared" si="0"/>
        <v>2025.49</v>
      </c>
    </row>
    <row r="4" spans="1:4">
      <c r="A4" s="10" t="s">
        <v>34</v>
      </c>
      <c r="B4" s="11" t="s">
        <v>13</v>
      </c>
      <c r="C4" s="19">
        <v>0.6</v>
      </c>
      <c r="D4" s="59">
        <f t="shared" si="0"/>
        <v>1215.2939999999999</v>
      </c>
    </row>
    <row r="5" spans="1:4">
      <c r="A5" s="10" t="s">
        <v>72</v>
      </c>
      <c r="B5" s="11" t="s">
        <v>13</v>
      </c>
      <c r="C5" s="19">
        <v>0.35</v>
      </c>
      <c r="D5" s="59">
        <f t="shared" si="0"/>
        <v>708.92149999999992</v>
      </c>
    </row>
    <row r="6" spans="1:4">
      <c r="A6" s="10" t="s">
        <v>71</v>
      </c>
      <c r="B6" s="11" t="s">
        <v>13</v>
      </c>
      <c r="C6" s="19">
        <v>0.6</v>
      </c>
      <c r="D6" s="59">
        <f t="shared" si="0"/>
        <v>1215.2939999999999</v>
      </c>
    </row>
    <row r="7" spans="1:4">
      <c r="A7" s="10" t="s">
        <v>35</v>
      </c>
      <c r="B7" s="11" t="s">
        <v>13</v>
      </c>
      <c r="C7" s="19">
        <v>0.6</v>
      </c>
      <c r="D7" s="59">
        <f t="shared" si="0"/>
        <v>1215.2939999999999</v>
      </c>
    </row>
    <row r="8" spans="1:4">
      <c r="A8" s="10" t="s">
        <v>36</v>
      </c>
      <c r="B8" s="11" t="s">
        <v>13</v>
      </c>
      <c r="C8" s="19">
        <v>0.3</v>
      </c>
      <c r="D8" s="59">
        <f t="shared" si="0"/>
        <v>607.64699999999993</v>
      </c>
    </row>
    <row r="9" spans="1:4">
      <c r="A9" s="10" t="s">
        <v>39</v>
      </c>
      <c r="B9" s="11" t="s">
        <v>13</v>
      </c>
      <c r="C9" s="19">
        <v>0.2</v>
      </c>
      <c r="D9" s="59">
        <f t="shared" si="0"/>
        <v>405.09800000000001</v>
      </c>
    </row>
    <row r="10" spans="1:4">
      <c r="A10" s="10" t="s">
        <v>43</v>
      </c>
      <c r="B10" s="11" t="s">
        <v>13</v>
      </c>
      <c r="C10" s="19">
        <f>C2</f>
        <v>0.7</v>
      </c>
      <c r="D10" s="59">
        <f t="shared" si="0"/>
        <v>1417.8429999999998</v>
      </c>
    </row>
    <row r="11" spans="1:4">
      <c r="A11" s="10" t="s">
        <v>12</v>
      </c>
      <c r="B11" s="11" t="s">
        <v>11</v>
      </c>
      <c r="C11" s="19">
        <v>1.3</v>
      </c>
      <c r="D11" s="59">
        <f t="shared" si="0"/>
        <v>2633.1370000000002</v>
      </c>
    </row>
    <row r="12" spans="1:4">
      <c r="A12" s="10" t="s">
        <v>10</v>
      </c>
      <c r="B12" s="11" t="s">
        <v>11</v>
      </c>
      <c r="C12" s="19">
        <v>1.3</v>
      </c>
      <c r="D12" s="59">
        <f t="shared" si="0"/>
        <v>2633.1370000000002</v>
      </c>
    </row>
    <row r="13" spans="1:4">
      <c r="A13" s="10" t="s">
        <v>40</v>
      </c>
      <c r="B13" s="11" t="s">
        <v>11</v>
      </c>
      <c r="C13" s="19">
        <v>4</v>
      </c>
      <c r="D13" s="59">
        <f>C13*$D$1</f>
        <v>8101.96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9"/>
  <sheetViews>
    <sheetView showGridLines="0" workbookViewId="0">
      <selection activeCell="G8" sqref="G8"/>
    </sheetView>
  </sheetViews>
  <sheetFormatPr defaultRowHeight="12.75"/>
  <cols>
    <col min="1" max="1" width="22" bestFit="1" customWidth="1"/>
    <col min="2" max="2" width="25.6640625" style="35" customWidth="1"/>
    <col min="3" max="3" width="10.83203125" style="35" customWidth="1"/>
    <col min="4" max="4" width="11" customWidth="1"/>
    <col min="5" max="5" width="5.33203125" bestFit="1" customWidth="1"/>
    <col min="6" max="6" width="23.1640625" customWidth="1"/>
    <col min="8" max="9" width="9.33203125" style="83"/>
  </cols>
  <sheetData>
    <row r="1" spans="1:14" ht="30" customHeight="1" thickTop="1" thickBot="1">
      <c r="A1" s="285" t="s">
        <v>79</v>
      </c>
      <c r="B1" s="285"/>
      <c r="C1" s="285"/>
      <c r="D1" s="285"/>
      <c r="E1" s="210">
        <v>20</v>
      </c>
      <c r="F1" s="25" t="s">
        <v>80</v>
      </c>
      <c r="H1" s="83">
        <v>29</v>
      </c>
      <c r="I1" s="144">
        <v>19</v>
      </c>
      <c r="J1" s="83">
        <v>10</v>
      </c>
    </row>
    <row r="2" spans="1:14" ht="16.5" customHeight="1" thickTop="1" thickBot="1">
      <c r="A2" s="26" t="s">
        <v>81</v>
      </c>
      <c r="B2" s="33" t="s">
        <v>82</v>
      </c>
      <c r="C2" s="37" t="s">
        <v>83</v>
      </c>
      <c r="D2" s="36" t="s">
        <v>84</v>
      </c>
      <c r="E2" s="36"/>
      <c r="F2" s="36" t="s">
        <v>85</v>
      </c>
      <c r="H2" s="144">
        <f>ROUNDUP(H1/2,0)</f>
        <v>15</v>
      </c>
      <c r="I2" s="145">
        <f>ROUNDUP(I1/2,0)</f>
        <v>10</v>
      </c>
      <c r="J2" s="144">
        <f>ROUNDUP(J1/2,0)</f>
        <v>5</v>
      </c>
    </row>
    <row r="3" spans="1:14" ht="30.75" customHeight="1" thickTop="1">
      <c r="A3" s="281" t="s">
        <v>91</v>
      </c>
      <c r="B3" s="27" t="s">
        <v>86</v>
      </c>
      <c r="C3" s="34">
        <v>1</v>
      </c>
      <c r="D3" s="32">
        <v>1</v>
      </c>
      <c r="E3" s="32"/>
      <c r="F3" s="27">
        <f>C3*D3</f>
        <v>1</v>
      </c>
      <c r="H3" s="83" t="s">
        <v>303</v>
      </c>
      <c r="I3" s="83" t="s">
        <v>304</v>
      </c>
      <c r="J3" s="149" t="s">
        <v>33</v>
      </c>
    </row>
    <row r="4" spans="1:14" ht="15" customHeight="1">
      <c r="A4" s="282"/>
      <c r="B4" s="27" t="s">
        <v>89</v>
      </c>
      <c r="C4" s="27">
        <v>1</v>
      </c>
      <c r="D4" s="29">
        <v>0.8</v>
      </c>
      <c r="E4" s="29"/>
      <c r="F4" s="27">
        <f t="shared" ref="F4:F5" si="0">C4*D4</f>
        <v>0.8</v>
      </c>
    </row>
    <row r="5" spans="1:14" ht="15" customHeight="1">
      <c r="A5" s="282"/>
      <c r="B5" s="27" t="s">
        <v>90</v>
      </c>
      <c r="C5" s="27">
        <v>1</v>
      </c>
      <c r="D5" s="29">
        <v>0.8</v>
      </c>
      <c r="E5" s="29"/>
      <c r="F5" s="27">
        <f t="shared" si="0"/>
        <v>0.8</v>
      </c>
    </row>
    <row r="6" spans="1:14" ht="15" customHeight="1" thickBot="1">
      <c r="A6" s="283"/>
      <c r="B6" s="27" t="s">
        <v>87</v>
      </c>
      <c r="C6" s="28">
        <v>2</v>
      </c>
      <c r="D6" s="30">
        <v>0.8</v>
      </c>
      <c r="E6" s="30"/>
      <c r="F6" s="27">
        <f t="shared" ref="F6" si="1">C6*D6</f>
        <v>1.6</v>
      </c>
    </row>
    <row r="7" spans="1:14" ht="16.5" thickTop="1" thickBot="1">
      <c r="A7" s="284" t="s">
        <v>97</v>
      </c>
      <c r="B7" s="284"/>
      <c r="C7" s="284"/>
      <c r="D7" s="284"/>
      <c r="E7" s="36"/>
      <c r="F7" s="37">
        <f>SUM(F3:F6)</f>
        <v>4.2</v>
      </c>
    </row>
    <row r="8" spans="1:14" ht="15.75" thickTop="1">
      <c r="A8" s="31" t="s">
        <v>94</v>
      </c>
      <c r="B8" s="34" t="s">
        <v>88</v>
      </c>
      <c r="C8" s="34">
        <v>20</v>
      </c>
      <c r="D8" s="32">
        <v>0.45</v>
      </c>
      <c r="E8" s="32"/>
      <c r="F8" s="27">
        <f>C8*D8</f>
        <v>9</v>
      </c>
      <c r="G8" s="145">
        <f>ROUNDUP(($I$2*D8),0)</f>
        <v>5</v>
      </c>
      <c r="H8" s="146">
        <f>ROUNDUP(G8/14.4,0)</f>
        <v>1</v>
      </c>
      <c r="I8" s="148" t="s">
        <v>158</v>
      </c>
      <c r="J8" s="211"/>
      <c r="K8" s="212">
        <f>G17</f>
        <v>7</v>
      </c>
      <c r="L8" s="146">
        <f>ROUNDUP(K8/K9,0)</f>
        <v>1</v>
      </c>
      <c r="M8" s="147" t="s">
        <v>268</v>
      </c>
      <c r="N8" s="83" t="s">
        <v>33</v>
      </c>
    </row>
    <row r="9" spans="1:14" ht="29.25" customHeight="1">
      <c r="A9" s="31" t="s">
        <v>93</v>
      </c>
      <c r="B9" s="27" t="s">
        <v>88</v>
      </c>
      <c r="C9" s="27">
        <f>C8/2</f>
        <v>10</v>
      </c>
      <c r="D9" s="29">
        <v>3</v>
      </c>
      <c r="E9" s="29"/>
      <c r="F9" s="27">
        <f t="shared" ref="F9:F13" si="2">C9*D9</f>
        <v>30</v>
      </c>
      <c r="G9" s="145">
        <f>ROUNDUP(($I$2*D9),0)</f>
        <v>30</v>
      </c>
      <c r="H9" s="146">
        <f>ROUNDUP(G9/14.4,0)</f>
        <v>3</v>
      </c>
      <c r="I9" s="148" t="s">
        <v>158</v>
      </c>
      <c r="J9" s="147"/>
      <c r="K9" s="83">
        <f>3*4</f>
        <v>12</v>
      </c>
      <c r="L9" s="146">
        <f>ROUNDUP(I2/K9,0)</f>
        <v>1</v>
      </c>
      <c r="M9" s="147" t="s">
        <v>268</v>
      </c>
      <c r="N9" s="149" t="s">
        <v>269</v>
      </c>
    </row>
    <row r="10" spans="1:14" ht="15" customHeight="1">
      <c r="A10" s="31" t="s">
        <v>92</v>
      </c>
      <c r="B10" s="27" t="s">
        <v>88</v>
      </c>
      <c r="C10" s="27">
        <v>20</v>
      </c>
      <c r="D10" s="29">
        <v>1.75</v>
      </c>
      <c r="E10" s="29"/>
      <c r="F10" s="27">
        <f t="shared" si="2"/>
        <v>35</v>
      </c>
      <c r="H10" s="83">
        <f>ROUNDUP(($H$2/C10),0)*F10</f>
        <v>35</v>
      </c>
      <c r="L10" s="146">
        <f>ROUNDUP(H2/K9,0)</f>
        <v>2</v>
      </c>
      <c r="M10" s="147" t="s">
        <v>268</v>
      </c>
      <c r="N10" s="150" t="s">
        <v>270</v>
      </c>
    </row>
    <row r="11" spans="1:14" ht="29.25" customHeight="1">
      <c r="A11" s="31" t="s">
        <v>95</v>
      </c>
      <c r="B11" s="27" t="s">
        <v>88</v>
      </c>
      <c r="C11" s="27">
        <v>1</v>
      </c>
      <c r="D11" s="29">
        <v>12</v>
      </c>
      <c r="E11" s="29"/>
      <c r="F11" s="27">
        <f t="shared" si="2"/>
        <v>12</v>
      </c>
      <c r="H11" s="145">
        <f>ROUNDUP(($I$2/20),0)*F11</f>
        <v>12</v>
      </c>
    </row>
    <row r="12" spans="1:14" ht="14.25" customHeight="1">
      <c r="A12" s="31" t="s">
        <v>96</v>
      </c>
      <c r="B12" s="27" t="s">
        <v>88</v>
      </c>
      <c r="C12" s="27">
        <v>1</v>
      </c>
      <c r="D12" s="29">
        <v>3.8</v>
      </c>
      <c r="E12" s="29"/>
      <c r="F12" s="27">
        <f t="shared" si="2"/>
        <v>3.8</v>
      </c>
    </row>
    <row r="13" spans="1:14" ht="15" thickBot="1">
      <c r="A13" s="30"/>
      <c r="B13" s="28"/>
      <c r="C13" s="28">
        <v>1</v>
      </c>
      <c r="D13" s="30">
        <v>0.32</v>
      </c>
      <c r="E13" s="30"/>
      <c r="F13" s="27">
        <f t="shared" si="2"/>
        <v>0.32</v>
      </c>
    </row>
    <row r="14" spans="1:14" ht="16.5" thickTop="1" thickBot="1">
      <c r="A14" s="284" t="s">
        <v>97</v>
      </c>
      <c r="B14" s="284"/>
      <c r="C14" s="284"/>
      <c r="D14" s="284"/>
      <c r="E14" s="36"/>
      <c r="F14" s="37">
        <f>SUM(F8:F13)</f>
        <v>90.11999999999999</v>
      </c>
    </row>
    <row r="15" spans="1:14" ht="13.5" thickTop="1"/>
    <row r="16" spans="1:14" ht="26.25" customHeight="1">
      <c r="D16" s="7"/>
      <c r="E16" s="7"/>
      <c r="F16" s="7" t="s">
        <v>139</v>
      </c>
    </row>
    <row r="17" spans="1:10" ht="24" customHeight="1">
      <c r="A17" s="279" t="s">
        <v>135</v>
      </c>
      <c r="B17" s="280"/>
      <c r="D17" s="67">
        <f>12*2.4</f>
        <v>28.799999999999997</v>
      </c>
      <c r="E17" s="7"/>
      <c r="F17" s="8">
        <v>7</v>
      </c>
      <c r="G17" s="212">
        <v>7</v>
      </c>
      <c r="H17" s="151">
        <f>ROUNDUP(G17/F17,0)</f>
        <v>1</v>
      </c>
      <c r="I17" s="152" t="s">
        <v>271</v>
      </c>
    </row>
    <row r="18" spans="1:10" ht="5.0999999999999996" customHeight="1">
      <c r="A18" s="65"/>
      <c r="B18" s="66"/>
      <c r="D18" s="67"/>
      <c r="E18" s="7"/>
      <c r="F18" s="8"/>
    </row>
    <row r="19" spans="1:10" ht="21" customHeight="1">
      <c r="A19" s="279" t="s">
        <v>136</v>
      </c>
      <c r="B19" s="280"/>
      <c r="D19" s="67">
        <f>6*2.4</f>
        <v>14.399999999999999</v>
      </c>
      <c r="E19" s="7"/>
      <c r="F19" s="8">
        <v>4</v>
      </c>
    </row>
    <row r="20" spans="1:10" ht="5.0999999999999996" customHeight="1">
      <c r="A20" s="65"/>
      <c r="B20" s="66"/>
      <c r="D20" s="67"/>
      <c r="E20" s="7"/>
      <c r="F20" s="8"/>
    </row>
    <row r="21" spans="1:10" ht="22.5" customHeight="1">
      <c r="A21" s="279" t="s">
        <v>137</v>
      </c>
      <c r="B21" s="280"/>
      <c r="D21" s="67">
        <f>6*2.4</f>
        <v>14.399999999999999</v>
      </c>
      <c r="E21" s="7"/>
      <c r="F21" s="8">
        <v>4</v>
      </c>
    </row>
    <row r="22" spans="1:10" ht="5.0999999999999996" customHeight="1">
      <c r="A22" s="65"/>
      <c r="B22" s="66"/>
      <c r="D22" s="67"/>
      <c r="E22" s="7"/>
      <c r="F22" s="8"/>
    </row>
    <row r="23" spans="1:10" ht="5.0999999999999996" customHeight="1">
      <c r="A23" s="65"/>
      <c r="B23" s="66"/>
      <c r="D23" s="67"/>
      <c r="E23" s="7"/>
      <c r="F23" s="8"/>
    </row>
    <row r="24" spans="1:10" ht="27.75" customHeight="1">
      <c r="A24" s="279" t="s">
        <v>138</v>
      </c>
      <c r="B24" s="280"/>
      <c r="D24" s="67">
        <f>2*6*2.4</f>
        <v>28.799999999999997</v>
      </c>
      <c r="E24" s="7"/>
      <c r="F24" s="8"/>
    </row>
    <row r="25" spans="1:10" ht="5.0999999999999996" customHeight="1">
      <c r="A25" s="65"/>
      <c r="B25" s="66"/>
      <c r="D25" s="67"/>
      <c r="E25" s="7"/>
      <c r="F25" s="8"/>
    </row>
    <row r="26" spans="1:10" ht="51.75" customHeight="1">
      <c r="A26" s="279" t="s">
        <v>140</v>
      </c>
      <c r="B26" s="280"/>
      <c r="D26" s="67">
        <f>6*2.4</f>
        <v>14.399999999999999</v>
      </c>
      <c r="E26" s="7"/>
      <c r="F26" s="8">
        <v>20</v>
      </c>
    </row>
    <row r="27" spans="1:10" ht="5.0999999999999996" customHeight="1">
      <c r="A27" s="65"/>
      <c r="B27" s="66"/>
      <c r="D27" s="67"/>
      <c r="E27" s="7"/>
      <c r="F27" s="8"/>
    </row>
    <row r="28" spans="1:10" ht="12" customHeight="1"/>
    <row r="29" spans="1:10">
      <c r="A29" t="s">
        <v>266</v>
      </c>
      <c r="F29" s="35">
        <v>20</v>
      </c>
      <c r="G29" s="143">
        <f>I1</f>
        <v>19</v>
      </c>
      <c r="H29" s="83">
        <f>ROUNDUP(G29/F29,0)</f>
        <v>1</v>
      </c>
      <c r="I29" s="83" t="s">
        <v>267</v>
      </c>
      <c r="J29" s="213" t="s">
        <v>305</v>
      </c>
    </row>
  </sheetData>
  <mergeCells count="9">
    <mergeCell ref="A26:B26"/>
    <mergeCell ref="A3:A6"/>
    <mergeCell ref="A14:D14"/>
    <mergeCell ref="A7:D7"/>
    <mergeCell ref="A1:D1"/>
    <mergeCell ref="A17:B17"/>
    <mergeCell ref="A19:B19"/>
    <mergeCell ref="A21:B21"/>
    <mergeCell ref="A24:B2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3" tint="0.39997558519241921"/>
    <pageSetUpPr fitToPage="1"/>
  </sheetPr>
  <dimension ref="B1:I186"/>
  <sheetViews>
    <sheetView topLeftCell="A2" workbookViewId="0">
      <pane xSplit="2" ySplit="3" topLeftCell="C77" activePane="bottomRight" state="frozen"/>
      <selection activeCell="A2" sqref="A2"/>
      <selection pane="topRight" activeCell="C2" sqref="C2"/>
      <selection pane="bottomLeft" activeCell="A5" sqref="A5"/>
      <selection pane="bottomRight" activeCell="I78" sqref="I78"/>
    </sheetView>
  </sheetViews>
  <sheetFormatPr defaultRowHeight="12.75"/>
  <cols>
    <col min="1" max="1" width="6.1640625" style="46" customWidth="1"/>
    <col min="2" max="2" width="26.5" style="46" customWidth="1"/>
    <col min="3" max="3" width="27" style="46" bestFit="1" customWidth="1"/>
    <col min="4" max="4" width="34" style="46" customWidth="1"/>
    <col min="5" max="5" width="33.1640625" style="46" customWidth="1"/>
    <col min="6" max="6" width="33.1640625" style="153" customWidth="1"/>
    <col min="7" max="7" width="33.1640625" style="134" customWidth="1"/>
    <col min="8" max="8" width="33.1640625" style="135" customWidth="1"/>
    <col min="9" max="9" width="33.1640625" style="154" customWidth="1"/>
    <col min="10" max="16384" width="9.33203125" style="46"/>
  </cols>
  <sheetData>
    <row r="1" spans="2:9" ht="15.75" hidden="1" customHeight="1" thickBot="1"/>
    <row r="2" spans="2:9" ht="15.75" thickBot="1">
      <c r="B2" s="287" t="s">
        <v>159</v>
      </c>
      <c r="C2" s="288"/>
      <c r="D2" s="288"/>
      <c r="E2" s="288"/>
      <c r="F2" s="288"/>
      <c r="G2" s="288"/>
      <c r="H2" s="288"/>
      <c r="I2" s="289"/>
    </row>
    <row r="3" spans="2:9" ht="15.75" thickBot="1">
      <c r="B3" s="290" t="s">
        <v>106</v>
      </c>
      <c r="C3" s="290" t="s">
        <v>108</v>
      </c>
      <c r="D3" s="292" t="s">
        <v>109</v>
      </c>
      <c r="E3" s="293"/>
      <c r="F3" s="293"/>
      <c r="G3" s="293"/>
      <c r="H3" s="293"/>
      <c r="I3" s="294"/>
    </row>
    <row r="4" spans="2:9" ht="15.75" thickBot="1">
      <c r="B4" s="291"/>
      <c r="C4" s="291"/>
      <c r="D4" s="84" t="s">
        <v>107</v>
      </c>
      <c r="E4" s="85" t="s">
        <v>160</v>
      </c>
      <c r="F4" s="86" t="s">
        <v>110</v>
      </c>
      <c r="G4" s="85" t="s">
        <v>325</v>
      </c>
      <c r="H4" s="85" t="s">
        <v>160</v>
      </c>
      <c r="I4" s="87" t="s">
        <v>111</v>
      </c>
    </row>
    <row r="5" spans="2:9" ht="15">
      <c r="B5" s="295" t="s">
        <v>161</v>
      </c>
      <c r="C5" s="88" t="s">
        <v>113</v>
      </c>
      <c r="D5" s="88" t="s">
        <v>162</v>
      </c>
      <c r="E5" s="88" t="s">
        <v>163</v>
      </c>
      <c r="F5" s="155">
        <v>1500</v>
      </c>
      <c r="G5" s="90" t="s">
        <v>164</v>
      </c>
      <c r="H5" s="91" t="s">
        <v>326</v>
      </c>
      <c r="I5" s="305">
        <f>7500/3600</f>
        <v>2.0833333333333335</v>
      </c>
    </row>
    <row r="6" spans="2:9" ht="15">
      <c r="B6" s="296"/>
      <c r="C6" s="92"/>
      <c r="D6" s="92" t="s">
        <v>165</v>
      </c>
      <c r="E6" s="92"/>
      <c r="F6" s="156">
        <v>2790</v>
      </c>
      <c r="G6" s="92" t="s">
        <v>174</v>
      </c>
      <c r="H6" s="94" t="s">
        <v>327</v>
      </c>
      <c r="I6" s="306">
        <f>7000/1440</f>
        <v>4.8611111111111107</v>
      </c>
    </row>
    <row r="7" spans="2:9" ht="15">
      <c r="B7" s="296"/>
      <c r="C7" s="92"/>
      <c r="D7" s="92" t="s">
        <v>167</v>
      </c>
      <c r="E7" s="92"/>
      <c r="F7" s="156">
        <v>2400</v>
      </c>
      <c r="G7" s="95" t="s">
        <v>168</v>
      </c>
      <c r="H7" s="94" t="s">
        <v>169</v>
      </c>
      <c r="I7" s="306">
        <f>2300/576</f>
        <v>3.9930555555555554</v>
      </c>
    </row>
    <row r="8" spans="2:9" ht="15">
      <c r="B8" s="296"/>
      <c r="C8" s="92"/>
      <c r="D8" s="92" t="s">
        <v>165</v>
      </c>
      <c r="E8" s="92"/>
      <c r="F8" s="156">
        <v>2350</v>
      </c>
      <c r="G8" s="95" t="s">
        <v>328</v>
      </c>
      <c r="H8" s="94" t="s">
        <v>329</v>
      </c>
      <c r="I8" s="306">
        <f>4000/2346</f>
        <v>1.7050298380221653</v>
      </c>
    </row>
    <row r="9" spans="2:9" ht="15">
      <c r="B9" s="296"/>
      <c r="C9" s="92"/>
      <c r="D9" s="92" t="s">
        <v>170</v>
      </c>
      <c r="E9" s="92"/>
      <c r="F9" s="156">
        <v>1900</v>
      </c>
      <c r="G9" s="95" t="s">
        <v>171</v>
      </c>
      <c r="H9" s="94" t="s">
        <v>172</v>
      </c>
      <c r="I9" s="306">
        <f>5000/12800</f>
        <v>0.390625</v>
      </c>
    </row>
    <row r="10" spans="2:9" ht="15">
      <c r="B10" s="296"/>
      <c r="C10" s="92"/>
      <c r="D10" s="92" t="s">
        <v>173</v>
      </c>
      <c r="E10" s="92"/>
      <c r="F10" s="156">
        <v>2500</v>
      </c>
      <c r="G10" s="95" t="s">
        <v>174</v>
      </c>
      <c r="H10" s="94" t="s">
        <v>330</v>
      </c>
      <c r="I10" s="306">
        <f>2500/754</f>
        <v>3.3156498673740051</v>
      </c>
    </row>
    <row r="11" spans="2:9" ht="15">
      <c r="B11" s="296"/>
      <c r="C11" s="92"/>
      <c r="D11" s="92" t="s">
        <v>175</v>
      </c>
      <c r="E11" s="92"/>
      <c r="F11" s="156">
        <v>2200</v>
      </c>
      <c r="G11" s="95"/>
      <c r="H11" s="94"/>
      <c r="I11" s="111"/>
    </row>
    <row r="12" spans="2:9" ht="15">
      <c r="B12" s="296"/>
      <c r="C12" s="92"/>
      <c r="D12" s="92" t="s">
        <v>166</v>
      </c>
      <c r="E12" s="92"/>
      <c r="F12" s="156">
        <v>1980</v>
      </c>
      <c r="G12" s="95"/>
      <c r="H12" s="94"/>
      <c r="I12" s="111"/>
    </row>
    <row r="13" spans="2:9" ht="15">
      <c r="B13" s="296"/>
      <c r="C13" s="92"/>
      <c r="D13" s="92" t="s">
        <v>174</v>
      </c>
      <c r="E13" s="92"/>
      <c r="F13" s="156">
        <v>2700</v>
      </c>
      <c r="G13" s="95"/>
      <c r="H13" s="94"/>
      <c r="I13" s="111"/>
    </row>
    <row r="14" spans="2:9" ht="15">
      <c r="B14" s="296"/>
      <c r="C14" s="92"/>
      <c r="D14" s="92" t="s">
        <v>176</v>
      </c>
      <c r="E14" s="92"/>
      <c r="F14" s="156">
        <v>3600</v>
      </c>
      <c r="G14" s="95"/>
      <c r="H14" s="94"/>
      <c r="I14" s="111"/>
    </row>
    <row r="15" spans="2:9" ht="15">
      <c r="B15" s="296"/>
      <c r="C15" s="92"/>
      <c r="D15" s="92" t="s">
        <v>167</v>
      </c>
      <c r="E15" s="92"/>
      <c r="F15" s="156">
        <v>2800</v>
      </c>
      <c r="G15" s="95"/>
      <c r="H15" s="94"/>
      <c r="I15" s="111"/>
    </row>
    <row r="16" spans="2:9" ht="15">
      <c r="B16" s="296"/>
      <c r="C16" s="92"/>
      <c r="D16" s="92" t="s">
        <v>177</v>
      </c>
      <c r="E16" s="92"/>
      <c r="F16" s="156">
        <v>3900</v>
      </c>
      <c r="G16" s="95"/>
      <c r="H16" s="94"/>
      <c r="I16" s="111"/>
    </row>
    <row r="17" spans="2:9" ht="15">
      <c r="B17" s="296"/>
      <c r="C17" s="96"/>
      <c r="D17" s="96"/>
      <c r="E17" s="96"/>
      <c r="F17" s="157"/>
      <c r="G17" s="98"/>
      <c r="H17" s="99"/>
      <c r="I17" s="116"/>
    </row>
    <row r="18" spans="2:9" ht="15">
      <c r="B18" s="296"/>
      <c r="C18" s="92" t="s">
        <v>178</v>
      </c>
      <c r="D18" s="92" t="s">
        <v>179</v>
      </c>
      <c r="E18" s="100" t="s">
        <v>163</v>
      </c>
      <c r="F18" s="156">
        <v>2300</v>
      </c>
      <c r="G18" s="93" t="s">
        <v>180</v>
      </c>
      <c r="H18" s="159" t="s">
        <v>331</v>
      </c>
      <c r="I18" s="158">
        <f>4500/3510</f>
        <v>1.2820512820512822</v>
      </c>
    </row>
    <row r="19" spans="2:9">
      <c r="B19" s="296"/>
      <c r="C19" s="92"/>
      <c r="D19" s="92" t="s">
        <v>182</v>
      </c>
      <c r="E19" s="92"/>
      <c r="F19" s="156">
        <v>3500</v>
      </c>
      <c r="G19" s="93" t="s">
        <v>182</v>
      </c>
      <c r="H19" s="101" t="s">
        <v>332</v>
      </c>
      <c r="I19" s="158">
        <v>8.0213903743315509</v>
      </c>
    </row>
    <row r="20" spans="2:9">
      <c r="B20" s="296"/>
      <c r="C20" s="92"/>
      <c r="D20" s="92" t="s">
        <v>180</v>
      </c>
      <c r="E20" s="92"/>
      <c r="F20" s="156">
        <v>1250</v>
      </c>
      <c r="G20" s="93" t="s">
        <v>182</v>
      </c>
      <c r="H20" s="159" t="s">
        <v>333</v>
      </c>
      <c r="I20" s="158">
        <v>6.92</v>
      </c>
    </row>
    <row r="21" spans="2:9">
      <c r="B21" s="296"/>
      <c r="C21" s="92"/>
      <c r="D21" s="92"/>
      <c r="E21" s="92"/>
      <c r="F21" s="160"/>
      <c r="G21" s="93" t="s">
        <v>180</v>
      </c>
      <c r="H21" s="159" t="s">
        <v>181</v>
      </c>
      <c r="I21" s="158">
        <f>990/350</f>
        <v>2.8285714285714287</v>
      </c>
    </row>
    <row r="22" spans="2:9">
      <c r="B22" s="296"/>
      <c r="C22" s="92"/>
      <c r="D22" s="92"/>
      <c r="E22" s="92"/>
      <c r="F22" s="160"/>
      <c r="G22" s="93"/>
      <c r="H22" s="101"/>
      <c r="I22" s="161"/>
    </row>
    <row r="23" spans="2:9" ht="15">
      <c r="B23" s="296"/>
      <c r="C23" s="102" t="s">
        <v>183</v>
      </c>
      <c r="D23" s="102" t="s">
        <v>184</v>
      </c>
      <c r="E23" s="100" t="s">
        <v>163</v>
      </c>
      <c r="F23" s="162">
        <v>2900</v>
      </c>
      <c r="G23" s="103" t="s">
        <v>334</v>
      </c>
      <c r="H23" s="171" t="s">
        <v>335</v>
      </c>
      <c r="I23" s="163">
        <f>3800/4784</f>
        <v>0.79431438127090304</v>
      </c>
    </row>
    <row r="24" spans="2:9">
      <c r="B24" s="296"/>
      <c r="C24" s="92"/>
      <c r="D24" s="92" t="s">
        <v>336</v>
      </c>
      <c r="E24" s="92"/>
      <c r="F24" s="156">
        <v>1800</v>
      </c>
      <c r="G24" s="93" t="s">
        <v>187</v>
      </c>
      <c r="H24" s="101" t="s">
        <v>188</v>
      </c>
      <c r="I24" s="158">
        <f>50000/41000</f>
        <v>1.2195121951219512</v>
      </c>
    </row>
    <row r="25" spans="2:9">
      <c r="B25" s="296"/>
      <c r="C25" s="92"/>
      <c r="D25" s="92" t="s">
        <v>182</v>
      </c>
      <c r="E25" s="92"/>
      <c r="F25" s="156">
        <v>1500</v>
      </c>
      <c r="G25" s="105" t="s">
        <v>337</v>
      </c>
      <c r="H25" s="101" t="s">
        <v>338</v>
      </c>
      <c r="I25" s="158">
        <f>1600/250</f>
        <v>6.4</v>
      </c>
    </row>
    <row r="26" spans="2:9">
      <c r="B26" s="296"/>
      <c r="C26" s="92"/>
      <c r="D26" s="92"/>
      <c r="E26" s="92"/>
      <c r="F26" s="156"/>
      <c r="G26" s="105" t="s">
        <v>186</v>
      </c>
      <c r="H26" s="101" t="s">
        <v>339</v>
      </c>
      <c r="I26" s="158">
        <f>2500/864</f>
        <v>2.8935185185185186</v>
      </c>
    </row>
    <row r="27" spans="2:9">
      <c r="B27" s="296"/>
      <c r="C27" s="92"/>
      <c r="D27" s="92"/>
      <c r="E27" s="92"/>
      <c r="F27" s="160"/>
      <c r="G27" s="105" t="s">
        <v>191</v>
      </c>
      <c r="H27" s="101" t="s">
        <v>185</v>
      </c>
      <c r="I27" s="158">
        <f>800/600</f>
        <v>1.3333333333333333</v>
      </c>
    </row>
    <row r="28" spans="2:9">
      <c r="B28" s="296"/>
      <c r="C28" s="92"/>
      <c r="D28" s="92"/>
      <c r="E28" s="92"/>
      <c r="F28" s="160"/>
      <c r="G28" s="105" t="s">
        <v>189</v>
      </c>
      <c r="H28" s="101" t="s">
        <v>190</v>
      </c>
      <c r="I28" s="158">
        <f>500/234</f>
        <v>2.1367521367521367</v>
      </c>
    </row>
    <row r="29" spans="2:9">
      <c r="B29" s="296"/>
      <c r="C29" s="92"/>
      <c r="D29" s="92"/>
      <c r="E29" s="92"/>
      <c r="F29" s="160"/>
      <c r="G29" s="93"/>
      <c r="H29" s="101"/>
      <c r="I29" s="161"/>
    </row>
    <row r="30" spans="2:9" ht="15">
      <c r="B30" s="296"/>
      <c r="C30" s="102" t="s">
        <v>193</v>
      </c>
      <c r="D30" s="102" t="s">
        <v>340</v>
      </c>
      <c r="E30" s="100" t="s">
        <v>163</v>
      </c>
      <c r="F30" s="222">
        <v>2580</v>
      </c>
      <c r="G30" s="103" t="s">
        <v>194</v>
      </c>
      <c r="H30" s="223" t="s">
        <v>341</v>
      </c>
      <c r="I30" s="163">
        <f>1200/607</f>
        <v>1.9769357495881383</v>
      </c>
    </row>
    <row r="31" spans="2:9">
      <c r="B31" s="296"/>
      <c r="C31" s="92"/>
      <c r="D31" s="92" t="s">
        <v>342</v>
      </c>
      <c r="E31" s="92"/>
      <c r="F31" s="156">
        <v>1450</v>
      </c>
      <c r="G31" s="93" t="s">
        <v>194</v>
      </c>
      <c r="H31" s="159" t="s">
        <v>343</v>
      </c>
      <c r="I31" s="158">
        <f>10000/4812</f>
        <v>2.0781379883624274</v>
      </c>
    </row>
    <row r="32" spans="2:9">
      <c r="B32" s="296"/>
      <c r="C32" s="92"/>
      <c r="D32" s="92" t="s">
        <v>182</v>
      </c>
      <c r="E32" s="92"/>
      <c r="F32" s="156">
        <v>3800</v>
      </c>
      <c r="G32" s="93" t="s">
        <v>344</v>
      </c>
      <c r="H32" s="159" t="s">
        <v>272</v>
      </c>
      <c r="I32" s="158">
        <f>1700/420</f>
        <v>4.0476190476190474</v>
      </c>
    </row>
    <row r="33" spans="2:9">
      <c r="B33" s="296"/>
      <c r="C33" s="92"/>
      <c r="D33" s="92"/>
      <c r="E33" s="92"/>
      <c r="F33" s="160"/>
      <c r="G33" s="97"/>
      <c r="H33" s="101"/>
      <c r="I33" s="161"/>
    </row>
    <row r="34" spans="2:9" ht="15">
      <c r="B34" s="296"/>
      <c r="C34" s="102" t="s">
        <v>195</v>
      </c>
      <c r="D34" s="102" t="s">
        <v>196</v>
      </c>
      <c r="E34" s="100" t="s">
        <v>163</v>
      </c>
      <c r="F34" s="162">
        <v>1990</v>
      </c>
      <c r="G34" s="92" t="s">
        <v>200</v>
      </c>
      <c r="H34" s="104" t="s">
        <v>345</v>
      </c>
      <c r="I34" s="163">
        <f>1000/636</f>
        <v>1.5723270440251573</v>
      </c>
    </row>
    <row r="35" spans="2:9" ht="15">
      <c r="B35" s="296"/>
      <c r="C35" s="92"/>
      <c r="D35" s="92" t="s">
        <v>199</v>
      </c>
      <c r="E35" s="106"/>
      <c r="F35" s="156">
        <v>1500</v>
      </c>
      <c r="G35" s="93" t="s">
        <v>346</v>
      </c>
      <c r="H35" s="159" t="s">
        <v>347</v>
      </c>
      <c r="I35" s="158">
        <f>4900/2340</f>
        <v>2.0940170940170941</v>
      </c>
    </row>
    <row r="36" spans="2:9" ht="15">
      <c r="B36" s="296"/>
      <c r="C36" s="92"/>
      <c r="D36" s="92" t="s">
        <v>200</v>
      </c>
      <c r="E36" s="106"/>
      <c r="F36" s="156">
        <v>1400</v>
      </c>
      <c r="G36" s="93" t="s">
        <v>197</v>
      </c>
      <c r="H36" s="159" t="s">
        <v>198</v>
      </c>
      <c r="I36" s="158">
        <f>3500/1080</f>
        <v>3.2407407407407409</v>
      </c>
    </row>
    <row r="37" spans="2:9" ht="15">
      <c r="B37" s="296"/>
      <c r="C37" s="92"/>
      <c r="D37" s="92" t="s">
        <v>346</v>
      </c>
      <c r="E37" s="106"/>
      <c r="F37" s="156">
        <v>2350</v>
      </c>
      <c r="G37" s="93"/>
      <c r="H37" s="101"/>
      <c r="I37" s="161"/>
    </row>
    <row r="38" spans="2:9">
      <c r="B38" s="296"/>
      <c r="C38" s="92"/>
      <c r="D38" s="92"/>
      <c r="E38" s="92"/>
      <c r="F38" s="160"/>
      <c r="G38" s="93"/>
      <c r="H38" s="101"/>
      <c r="I38" s="161"/>
    </row>
    <row r="39" spans="2:9" ht="15">
      <c r="B39" s="296"/>
      <c r="C39" s="164" t="s">
        <v>112</v>
      </c>
      <c r="D39" s="102" t="s">
        <v>182</v>
      </c>
      <c r="E39" s="165" t="s">
        <v>163</v>
      </c>
      <c r="F39" s="162">
        <v>600</v>
      </c>
      <c r="G39" s="102"/>
      <c r="H39" s="104"/>
      <c r="I39" s="166"/>
    </row>
    <row r="40" spans="2:9" ht="15">
      <c r="B40" s="296"/>
      <c r="C40" s="167"/>
      <c r="D40" s="92"/>
      <c r="E40" s="168"/>
      <c r="F40" s="160"/>
      <c r="G40" s="92"/>
      <c r="H40" s="101"/>
      <c r="I40" s="161"/>
    </row>
    <row r="41" spans="2:9">
      <c r="B41" s="296"/>
      <c r="C41" s="167"/>
      <c r="D41" s="96"/>
      <c r="E41" s="169"/>
      <c r="F41" s="160"/>
      <c r="G41" s="93"/>
      <c r="H41" s="101"/>
      <c r="I41" s="161"/>
    </row>
    <row r="42" spans="2:9" ht="15">
      <c r="B42" s="296"/>
      <c r="C42" s="102" t="s">
        <v>202</v>
      </c>
      <c r="D42" s="102" t="s">
        <v>202</v>
      </c>
      <c r="E42" s="100" t="s">
        <v>163</v>
      </c>
      <c r="F42" s="162">
        <v>1600</v>
      </c>
      <c r="G42" s="103"/>
      <c r="H42" s="104"/>
      <c r="I42" s="166"/>
    </row>
    <row r="43" spans="2:9">
      <c r="B43" s="296"/>
      <c r="C43" s="92"/>
      <c r="D43" s="92" t="s">
        <v>202</v>
      </c>
      <c r="E43" s="92"/>
      <c r="F43" s="156">
        <v>1900</v>
      </c>
      <c r="G43" s="93"/>
      <c r="H43" s="101"/>
      <c r="I43" s="161"/>
    </row>
    <row r="44" spans="2:9">
      <c r="B44" s="296"/>
      <c r="C44" s="92"/>
      <c r="D44" s="92"/>
      <c r="E44" s="92"/>
      <c r="F44" s="160"/>
      <c r="G44" s="93"/>
      <c r="H44" s="101"/>
      <c r="I44" s="161"/>
    </row>
    <row r="45" spans="2:9">
      <c r="B45" s="296"/>
      <c r="C45" s="102" t="s">
        <v>203</v>
      </c>
      <c r="D45" s="102"/>
      <c r="E45" s="102"/>
      <c r="F45" s="170"/>
      <c r="G45" s="103" t="s">
        <v>182</v>
      </c>
      <c r="H45" s="171" t="s">
        <v>348</v>
      </c>
      <c r="I45" s="163">
        <f>1500/640</f>
        <v>2.34375</v>
      </c>
    </row>
    <row r="46" spans="2:9">
      <c r="B46" s="296"/>
      <c r="C46" s="92"/>
      <c r="D46" s="92"/>
      <c r="E46" s="92"/>
      <c r="F46" s="160"/>
      <c r="G46" s="93"/>
      <c r="H46" s="101"/>
      <c r="I46" s="161"/>
    </row>
    <row r="47" spans="2:9">
      <c r="B47" s="296"/>
      <c r="C47" s="102" t="s">
        <v>204</v>
      </c>
      <c r="D47" s="102"/>
      <c r="E47" s="102"/>
      <c r="F47" s="170"/>
      <c r="G47" s="103" t="s">
        <v>349</v>
      </c>
      <c r="H47" s="104" t="s">
        <v>350</v>
      </c>
      <c r="I47" s="163">
        <f>2000/772</f>
        <v>2.5906735751295336</v>
      </c>
    </row>
    <row r="48" spans="2:9" ht="14.25" customHeight="1">
      <c r="B48" s="296"/>
      <c r="C48" s="92"/>
      <c r="D48" s="92"/>
      <c r="E48" s="92"/>
      <c r="F48" s="160"/>
      <c r="G48" s="93"/>
      <c r="H48" s="101"/>
      <c r="I48" s="161"/>
    </row>
    <row r="49" spans="2:9" ht="15">
      <c r="B49" s="296"/>
      <c r="C49" s="102" t="s">
        <v>205</v>
      </c>
      <c r="D49" s="102" t="s">
        <v>206</v>
      </c>
      <c r="E49" s="100" t="s">
        <v>163</v>
      </c>
      <c r="F49" s="162">
        <v>4000</v>
      </c>
      <c r="G49" s="103" t="s">
        <v>351</v>
      </c>
      <c r="H49" s="171" t="s">
        <v>352</v>
      </c>
      <c r="I49" s="163">
        <f>2250/6070.5</f>
        <v>0.37064492216456635</v>
      </c>
    </row>
    <row r="50" spans="2:9">
      <c r="B50" s="296"/>
      <c r="C50" s="92"/>
      <c r="D50" s="92" t="s">
        <v>207</v>
      </c>
      <c r="E50" s="92"/>
      <c r="F50" s="156">
        <v>3600</v>
      </c>
      <c r="G50" s="93" t="s">
        <v>209</v>
      </c>
      <c r="H50" s="159" t="s">
        <v>353</v>
      </c>
      <c r="I50" s="158">
        <f>41500/20750</f>
        <v>2</v>
      </c>
    </row>
    <row r="51" spans="2:9">
      <c r="B51" s="296"/>
      <c r="C51" s="92"/>
      <c r="D51" s="92" t="s">
        <v>208</v>
      </c>
      <c r="E51" s="92"/>
      <c r="F51" s="156">
        <v>2000</v>
      </c>
      <c r="G51" s="93" t="s">
        <v>354</v>
      </c>
      <c r="H51" s="159" t="s">
        <v>355</v>
      </c>
      <c r="I51" s="158">
        <f>20000/33959</f>
        <v>0.58894549309461408</v>
      </c>
    </row>
    <row r="52" spans="2:9">
      <c r="B52" s="296"/>
      <c r="C52" s="92"/>
      <c r="D52" s="92" t="s">
        <v>356</v>
      </c>
      <c r="E52" s="92"/>
      <c r="F52" s="156">
        <v>2500</v>
      </c>
      <c r="G52" s="105"/>
      <c r="H52" s="101"/>
      <c r="I52" s="161"/>
    </row>
    <row r="53" spans="2:9">
      <c r="B53" s="296"/>
      <c r="C53" s="92"/>
      <c r="D53" s="92"/>
      <c r="E53" s="92"/>
      <c r="F53" s="160"/>
      <c r="G53" s="92"/>
      <c r="H53" s="101"/>
      <c r="I53" s="161"/>
    </row>
    <row r="54" spans="2:9">
      <c r="B54" s="296"/>
      <c r="C54" s="92"/>
      <c r="D54" s="92"/>
      <c r="E54" s="92"/>
      <c r="F54" s="160"/>
      <c r="G54" s="93"/>
      <c r="H54" s="101"/>
      <c r="I54" s="161"/>
    </row>
    <row r="55" spans="2:9" ht="15">
      <c r="B55" s="296"/>
      <c r="C55" s="100" t="s">
        <v>210</v>
      </c>
      <c r="D55" s="100" t="s">
        <v>182</v>
      </c>
      <c r="E55" s="100" t="s">
        <v>163</v>
      </c>
      <c r="F55" s="307">
        <v>1200</v>
      </c>
      <c r="G55" s="107"/>
      <c r="H55" s="108"/>
      <c r="I55" s="127"/>
    </row>
    <row r="56" spans="2:9" ht="15">
      <c r="B56" s="296"/>
      <c r="C56" s="106"/>
      <c r="D56" s="106" t="s">
        <v>210</v>
      </c>
      <c r="E56" s="106"/>
      <c r="F56" s="308">
        <v>1000</v>
      </c>
      <c r="G56" s="109"/>
      <c r="H56" s="110"/>
      <c r="I56" s="111"/>
    </row>
    <row r="57" spans="2:9" ht="15">
      <c r="B57" s="296"/>
      <c r="C57" s="106"/>
      <c r="D57" s="106" t="s">
        <v>210</v>
      </c>
      <c r="E57" s="106"/>
      <c r="F57" s="308">
        <v>1000</v>
      </c>
      <c r="G57" s="109"/>
      <c r="H57" s="110"/>
      <c r="I57" s="111"/>
    </row>
    <row r="58" spans="2:9" ht="15">
      <c r="B58" s="296"/>
      <c r="C58" s="112"/>
      <c r="D58" s="113"/>
      <c r="E58" s="106"/>
      <c r="F58" s="114"/>
      <c r="G58" s="114"/>
      <c r="H58" s="115"/>
      <c r="I58" s="116"/>
    </row>
    <row r="59" spans="2:9" ht="15">
      <c r="B59" s="296"/>
      <c r="C59" s="106" t="s">
        <v>211</v>
      </c>
      <c r="D59" s="172" t="s">
        <v>182</v>
      </c>
      <c r="E59" s="100" t="s">
        <v>163</v>
      </c>
      <c r="F59" s="309">
        <v>4000</v>
      </c>
      <c r="G59" s="95" t="s">
        <v>213</v>
      </c>
      <c r="H59" s="94" t="s">
        <v>357</v>
      </c>
      <c r="I59" s="306">
        <f>1900/192.78</f>
        <v>9.85579416951966</v>
      </c>
    </row>
    <row r="60" spans="2:9" ht="15">
      <c r="B60" s="296"/>
      <c r="C60" s="117"/>
      <c r="D60" s="172" t="s">
        <v>358</v>
      </c>
      <c r="E60" s="106" t="s">
        <v>163</v>
      </c>
      <c r="F60" s="309">
        <v>1900</v>
      </c>
      <c r="G60" s="224" t="s">
        <v>359</v>
      </c>
      <c r="H60" s="94" t="s">
        <v>360</v>
      </c>
      <c r="I60" s="306">
        <f>580/378</f>
        <v>1.5343915343915344</v>
      </c>
    </row>
    <row r="61" spans="2:9" ht="15">
      <c r="B61" s="296"/>
      <c r="C61" s="117"/>
      <c r="D61" s="172" t="s">
        <v>361</v>
      </c>
      <c r="E61" s="106" t="s">
        <v>163</v>
      </c>
      <c r="F61" s="309">
        <v>1200</v>
      </c>
      <c r="G61" s="95" t="s">
        <v>182</v>
      </c>
      <c r="H61" s="94" t="s">
        <v>212</v>
      </c>
      <c r="I61" s="306">
        <f>5000/419.5</f>
        <v>11.918951132300357</v>
      </c>
    </row>
    <row r="62" spans="2:9" ht="15">
      <c r="B62" s="296"/>
      <c r="C62" s="112"/>
      <c r="D62" s="173"/>
      <c r="E62" s="113"/>
      <c r="F62" s="310"/>
      <c r="G62" s="98"/>
      <c r="H62" s="99"/>
      <c r="I62" s="116"/>
    </row>
    <row r="63" spans="2:9" ht="15">
      <c r="B63" s="296"/>
      <c r="C63" s="106" t="s">
        <v>214</v>
      </c>
      <c r="D63" s="106" t="s">
        <v>196</v>
      </c>
      <c r="E63" s="106" t="s">
        <v>163</v>
      </c>
      <c r="F63" s="308">
        <v>2000</v>
      </c>
      <c r="G63" s="95" t="s">
        <v>215</v>
      </c>
      <c r="H63" s="94" t="s">
        <v>216</v>
      </c>
      <c r="I63" s="306">
        <f>5000/1178</f>
        <v>4.2444821731748723</v>
      </c>
    </row>
    <row r="64" spans="2:9" ht="15">
      <c r="B64" s="296"/>
      <c r="C64" s="117"/>
      <c r="D64" s="106"/>
      <c r="E64" s="106"/>
      <c r="F64" s="109"/>
      <c r="G64" s="95" t="s">
        <v>217</v>
      </c>
      <c r="H64" s="94" t="s">
        <v>350</v>
      </c>
      <c r="I64" s="306">
        <f>2000/772</f>
        <v>2.5906735751295336</v>
      </c>
    </row>
    <row r="65" spans="2:9" ht="15">
      <c r="B65" s="296"/>
      <c r="C65" s="117"/>
      <c r="D65" s="106"/>
      <c r="E65" s="106"/>
      <c r="F65" s="109"/>
      <c r="G65" s="95"/>
      <c r="H65" s="94"/>
      <c r="I65" s="111"/>
    </row>
    <row r="66" spans="2:9">
      <c r="B66" s="296"/>
      <c r="C66" s="192" t="s">
        <v>218</v>
      </c>
      <c r="D66" s="192" t="s">
        <v>362</v>
      </c>
      <c r="E66" s="102" t="s">
        <v>163</v>
      </c>
      <c r="F66" s="162">
        <v>4000</v>
      </c>
      <c r="G66" s="103" t="s">
        <v>219</v>
      </c>
      <c r="H66" s="171" t="s">
        <v>363</v>
      </c>
      <c r="I66" s="163">
        <f>2000/373</f>
        <v>5.3619302949061662</v>
      </c>
    </row>
    <row r="67" spans="2:9">
      <c r="B67" s="296"/>
      <c r="C67" s="92"/>
      <c r="D67" s="174" t="s">
        <v>364</v>
      </c>
      <c r="E67" s="92"/>
      <c r="F67" s="156">
        <v>1300</v>
      </c>
      <c r="G67" s="93" t="s">
        <v>220</v>
      </c>
      <c r="H67" s="101" t="s">
        <v>192</v>
      </c>
      <c r="I67" s="158">
        <f>6900/1200</f>
        <v>5.75</v>
      </c>
    </row>
    <row r="68" spans="2:9">
      <c r="B68" s="296"/>
      <c r="C68" s="92"/>
      <c r="D68" s="174" t="s">
        <v>365</v>
      </c>
      <c r="E68" s="92"/>
      <c r="F68" s="156">
        <v>1500</v>
      </c>
      <c r="G68" s="93"/>
      <c r="H68" s="101"/>
      <c r="I68" s="161"/>
    </row>
    <row r="69" spans="2:9">
      <c r="B69" s="296"/>
      <c r="C69" s="96"/>
      <c r="D69" s="96"/>
      <c r="E69" s="96"/>
      <c r="F69" s="157"/>
      <c r="G69" s="97"/>
      <c r="H69" s="118"/>
      <c r="I69" s="175"/>
    </row>
    <row r="70" spans="2:9" ht="15">
      <c r="B70" s="296"/>
      <c r="C70" s="106" t="s">
        <v>221</v>
      </c>
      <c r="D70" s="106" t="s">
        <v>222</v>
      </c>
      <c r="E70" s="106" t="s">
        <v>163</v>
      </c>
      <c r="F70" s="308">
        <v>4000</v>
      </c>
      <c r="G70" s="106" t="s">
        <v>273</v>
      </c>
      <c r="H70" s="94" t="s">
        <v>274</v>
      </c>
      <c r="I70" s="306">
        <f>23000/43687</f>
        <v>0.52647240597889533</v>
      </c>
    </row>
    <row r="71" spans="2:9" ht="15">
      <c r="B71" s="296"/>
      <c r="C71" s="92"/>
      <c r="D71" s="106" t="s">
        <v>366</v>
      </c>
      <c r="E71" s="106"/>
      <c r="F71" s="308">
        <v>2390</v>
      </c>
      <c r="G71" s="95"/>
      <c r="H71" s="94"/>
      <c r="I71" s="111"/>
    </row>
    <row r="72" spans="2:9" ht="15">
      <c r="B72" s="296"/>
      <c r="C72" s="96"/>
      <c r="D72" s="113"/>
      <c r="E72" s="113"/>
      <c r="F72" s="114"/>
      <c r="G72" s="98"/>
      <c r="H72" s="99"/>
      <c r="I72" s="116"/>
    </row>
    <row r="73" spans="2:9" ht="15">
      <c r="B73" s="296"/>
      <c r="C73" s="174" t="s">
        <v>114</v>
      </c>
      <c r="D73" s="106" t="s">
        <v>201</v>
      </c>
      <c r="E73" s="100" t="s">
        <v>163</v>
      </c>
      <c r="F73" s="308">
        <v>4500</v>
      </c>
      <c r="G73" s="95" t="s">
        <v>223</v>
      </c>
      <c r="H73" s="94" t="s">
        <v>224</v>
      </c>
      <c r="I73" s="306">
        <f>1480/480</f>
        <v>3.0833333333333335</v>
      </c>
    </row>
    <row r="74" spans="2:9" ht="15">
      <c r="B74" s="296"/>
      <c r="C74" s="92"/>
      <c r="D74" s="106" t="s">
        <v>223</v>
      </c>
      <c r="E74" s="106"/>
      <c r="F74" s="308">
        <v>2900</v>
      </c>
      <c r="G74" s="95" t="s">
        <v>223</v>
      </c>
      <c r="H74" s="94" t="s">
        <v>185</v>
      </c>
      <c r="I74" s="306">
        <f>1250/600</f>
        <v>2.0833333333333335</v>
      </c>
    </row>
    <row r="75" spans="2:9" ht="15">
      <c r="B75" s="296"/>
      <c r="C75" s="92"/>
      <c r="D75" s="106" t="s">
        <v>225</v>
      </c>
      <c r="E75" s="106"/>
      <c r="F75" s="308">
        <v>1000</v>
      </c>
      <c r="G75" s="95" t="s">
        <v>223</v>
      </c>
      <c r="H75" s="94" t="s">
        <v>367</v>
      </c>
      <c r="I75" s="306">
        <f>100/2100</f>
        <v>4.7619047619047616E-2</v>
      </c>
    </row>
    <row r="76" spans="2:9" ht="15">
      <c r="B76" s="296"/>
      <c r="C76" s="92"/>
      <c r="D76" s="106"/>
      <c r="E76" s="106"/>
      <c r="F76" s="109"/>
      <c r="G76" s="95"/>
      <c r="H76" s="94"/>
      <c r="I76" s="111"/>
    </row>
    <row r="77" spans="2:9" ht="15.75" thickBot="1">
      <c r="B77" s="296"/>
      <c r="C77" s="92"/>
      <c r="D77" s="106"/>
      <c r="E77" s="106"/>
      <c r="F77" s="109"/>
      <c r="G77" s="95"/>
      <c r="H77" s="94"/>
      <c r="I77" s="111"/>
    </row>
    <row r="78" spans="2:9" ht="15.75" thickBot="1">
      <c r="B78" s="225"/>
      <c r="C78" s="297" t="s">
        <v>116</v>
      </c>
      <c r="D78" s="297"/>
      <c r="E78" s="297"/>
      <c r="F78" s="119">
        <f>ROUND(AVERAGE(F5:F77),2)</f>
        <v>2319.79</v>
      </c>
      <c r="G78" s="239"/>
      <c r="H78" s="120"/>
      <c r="I78" s="226">
        <f>ROUND(AVERAGE(I5:I77),2)</f>
        <v>3.16</v>
      </c>
    </row>
    <row r="79" spans="2:9">
      <c r="B79" s="295" t="s">
        <v>226</v>
      </c>
      <c r="C79" s="88" t="s">
        <v>117</v>
      </c>
      <c r="D79" s="88" t="s">
        <v>228</v>
      </c>
      <c r="E79" s="88" t="s">
        <v>163</v>
      </c>
      <c r="F79" s="227">
        <v>3500</v>
      </c>
      <c r="G79" s="181" t="s">
        <v>227</v>
      </c>
      <c r="H79" s="228" t="s">
        <v>368</v>
      </c>
      <c r="I79" s="177">
        <f>1500/548</f>
        <v>2.7372262773722627</v>
      </c>
    </row>
    <row r="80" spans="2:9">
      <c r="B80" s="296"/>
      <c r="C80" s="92"/>
      <c r="D80" s="92" t="s">
        <v>275</v>
      </c>
      <c r="E80" s="92"/>
      <c r="F80" s="156">
        <v>2900</v>
      </c>
      <c r="G80" s="181" t="s">
        <v>227</v>
      </c>
      <c r="H80" s="159" t="s">
        <v>369</v>
      </c>
      <c r="I80" s="158">
        <f>3000/495</f>
        <v>6.0606060606060606</v>
      </c>
    </row>
    <row r="81" spans="2:9">
      <c r="B81" s="296"/>
      <c r="C81" s="92"/>
      <c r="D81" s="174" t="s">
        <v>276</v>
      </c>
      <c r="E81" s="92"/>
      <c r="F81" s="156">
        <v>2300</v>
      </c>
      <c r="G81" s="93" t="s">
        <v>276</v>
      </c>
      <c r="H81" s="159" t="s">
        <v>370</v>
      </c>
      <c r="I81" s="158">
        <f>1500/483</f>
        <v>3.1055900621118013</v>
      </c>
    </row>
    <row r="82" spans="2:9">
      <c r="B82" s="296"/>
      <c r="C82" s="96"/>
      <c r="D82" s="96"/>
      <c r="E82" s="96"/>
      <c r="F82" s="157"/>
      <c r="G82" s="97" t="s">
        <v>227</v>
      </c>
      <c r="H82" s="178" t="s">
        <v>371</v>
      </c>
      <c r="I82" s="179">
        <f>6000/1371</f>
        <v>4.3763676148796495</v>
      </c>
    </row>
    <row r="83" spans="2:9">
      <c r="B83" s="296"/>
      <c r="C83" s="92" t="s">
        <v>229</v>
      </c>
      <c r="D83" s="92" t="s">
        <v>372</v>
      </c>
      <c r="E83" s="92" t="s">
        <v>163</v>
      </c>
      <c r="F83" s="156">
        <v>3800</v>
      </c>
      <c r="G83" s="93" t="s">
        <v>373</v>
      </c>
      <c r="H83" s="159" t="s">
        <v>374</v>
      </c>
      <c r="I83" s="158">
        <f>2000/2000</f>
        <v>1</v>
      </c>
    </row>
    <row r="84" spans="2:9">
      <c r="B84" s="296"/>
      <c r="C84" s="92"/>
      <c r="D84" s="174" t="s">
        <v>375</v>
      </c>
      <c r="E84" s="92"/>
      <c r="F84" s="156">
        <v>2200</v>
      </c>
      <c r="G84" s="93" t="s">
        <v>376</v>
      </c>
      <c r="H84" s="159" t="s">
        <v>377</v>
      </c>
      <c r="I84" s="158">
        <f>1500/1000</f>
        <v>1.5</v>
      </c>
    </row>
    <row r="85" spans="2:9">
      <c r="B85" s="296"/>
      <c r="C85" s="92"/>
      <c r="D85" s="92" t="s">
        <v>378</v>
      </c>
      <c r="E85" s="92"/>
      <c r="F85" s="156">
        <v>2000</v>
      </c>
      <c r="G85" s="181" t="s">
        <v>379</v>
      </c>
      <c r="H85" s="159" t="s">
        <v>348</v>
      </c>
      <c r="I85" s="158">
        <f>2500/640</f>
        <v>3.90625</v>
      </c>
    </row>
    <row r="86" spans="2:9">
      <c r="B86" s="296"/>
      <c r="C86" s="92"/>
      <c r="D86" s="92" t="s">
        <v>380</v>
      </c>
      <c r="E86" s="92"/>
      <c r="F86" s="156">
        <v>1400</v>
      </c>
      <c r="G86" s="181" t="s">
        <v>381</v>
      </c>
      <c r="H86" s="159" t="s">
        <v>382</v>
      </c>
      <c r="I86" s="158">
        <f>5500/6000</f>
        <v>0.91666666666666663</v>
      </c>
    </row>
    <row r="87" spans="2:9">
      <c r="B87" s="296"/>
      <c r="C87" s="92"/>
      <c r="D87" s="174" t="s">
        <v>383</v>
      </c>
      <c r="E87" s="92"/>
      <c r="F87" s="156">
        <v>2500</v>
      </c>
      <c r="G87" s="93" t="s">
        <v>182</v>
      </c>
      <c r="H87" s="159" t="s">
        <v>384</v>
      </c>
      <c r="I87" s="158">
        <f>1300/5000</f>
        <v>0.26</v>
      </c>
    </row>
    <row r="88" spans="2:9">
      <c r="B88" s="296"/>
      <c r="C88" s="92"/>
      <c r="D88" s="92"/>
      <c r="E88" s="92"/>
      <c r="F88" s="160"/>
      <c r="G88" s="93" t="s">
        <v>182</v>
      </c>
      <c r="H88" s="159" t="s">
        <v>385</v>
      </c>
      <c r="I88" s="158">
        <f>2500/760</f>
        <v>3.2894736842105261</v>
      </c>
    </row>
    <row r="89" spans="2:9">
      <c r="B89" s="296"/>
      <c r="C89" s="92"/>
      <c r="D89" s="92"/>
      <c r="E89" s="92"/>
      <c r="F89" s="160"/>
      <c r="G89" s="181" t="s">
        <v>380</v>
      </c>
      <c r="H89" s="159" t="s">
        <v>386</v>
      </c>
      <c r="I89" s="158">
        <f>8000/3600</f>
        <v>2.2222222222222223</v>
      </c>
    </row>
    <row r="90" spans="2:9" ht="14.25" customHeight="1">
      <c r="B90" s="296"/>
      <c r="C90" s="92"/>
      <c r="D90" s="92"/>
      <c r="E90" s="92"/>
      <c r="F90" s="160"/>
      <c r="G90" s="93" t="s">
        <v>294</v>
      </c>
      <c r="H90" s="101" t="s">
        <v>387</v>
      </c>
      <c r="I90" s="158">
        <f>1500/552</f>
        <v>2.7173913043478262</v>
      </c>
    </row>
    <row r="91" spans="2:9">
      <c r="B91" s="296"/>
      <c r="C91" s="102" t="s">
        <v>230</v>
      </c>
      <c r="D91" s="102" t="s">
        <v>231</v>
      </c>
      <c r="E91" s="102" t="s">
        <v>163</v>
      </c>
      <c r="F91" s="162">
        <v>3220</v>
      </c>
      <c r="G91" s="103" t="s">
        <v>231</v>
      </c>
      <c r="H91" s="171" t="s">
        <v>388</v>
      </c>
      <c r="I91" s="163">
        <f>5500/580</f>
        <v>9.4827586206896548</v>
      </c>
    </row>
    <row r="92" spans="2:9">
      <c r="B92" s="296"/>
      <c r="C92" s="92"/>
      <c r="D92" s="174" t="s">
        <v>389</v>
      </c>
      <c r="E92" s="92"/>
      <c r="F92" s="156">
        <v>3000</v>
      </c>
      <c r="G92" s="93"/>
      <c r="H92" s="101"/>
      <c r="I92" s="161"/>
    </row>
    <row r="93" spans="2:9">
      <c r="B93" s="296"/>
      <c r="C93" s="96"/>
      <c r="D93" s="182" t="s">
        <v>390</v>
      </c>
      <c r="E93" s="96"/>
      <c r="F93" s="183">
        <v>2100</v>
      </c>
      <c r="G93" s="97"/>
      <c r="H93" s="118"/>
      <c r="I93" s="175"/>
    </row>
    <row r="94" spans="2:9">
      <c r="B94" s="296"/>
      <c r="C94" s="92" t="s">
        <v>265</v>
      </c>
      <c r="D94" s="92" t="s">
        <v>231</v>
      </c>
      <c r="E94" s="92" t="s">
        <v>163</v>
      </c>
      <c r="F94" s="156">
        <v>3500</v>
      </c>
      <c r="G94" s="93"/>
      <c r="H94" s="101"/>
      <c r="I94" s="161"/>
    </row>
    <row r="95" spans="2:9">
      <c r="B95" s="296"/>
      <c r="C95" s="92"/>
      <c r="D95" s="174" t="s">
        <v>391</v>
      </c>
      <c r="E95" s="92" t="s">
        <v>163</v>
      </c>
      <c r="F95" s="156">
        <v>1700</v>
      </c>
      <c r="G95" s="93"/>
      <c r="H95" s="101"/>
      <c r="I95" s="161"/>
    </row>
    <row r="96" spans="2:9" ht="13.5" thickBot="1">
      <c r="B96" s="298"/>
      <c r="C96" s="184"/>
      <c r="D96" s="184"/>
      <c r="E96" s="184"/>
      <c r="F96" s="185"/>
      <c r="G96" s="186"/>
      <c r="H96" s="187"/>
      <c r="I96" s="188"/>
    </row>
    <row r="97" spans="2:9" ht="15.75" thickBot="1">
      <c r="B97" s="229"/>
      <c r="C97" s="299" t="s">
        <v>116</v>
      </c>
      <c r="D97" s="299"/>
      <c r="E97" s="299"/>
      <c r="F97" s="125">
        <f>ROUND(AVERAGE(F79:F96),2)</f>
        <v>2624.62</v>
      </c>
      <c r="G97" s="189"/>
      <c r="H97" s="190"/>
      <c r="I97" s="126">
        <f>ROUND(AVERAGE(I79:I96),2)</f>
        <v>3.2</v>
      </c>
    </row>
    <row r="98" spans="2:9">
      <c r="B98" s="295" t="s">
        <v>232</v>
      </c>
      <c r="C98" s="88" t="s">
        <v>233</v>
      </c>
      <c r="D98" s="191" t="s">
        <v>392</v>
      </c>
      <c r="E98" s="88" t="s">
        <v>163</v>
      </c>
      <c r="F98" s="155">
        <v>3600</v>
      </c>
      <c r="G98" s="89" t="s">
        <v>393</v>
      </c>
      <c r="H98" s="176" t="s">
        <v>394</v>
      </c>
      <c r="I98" s="177">
        <f>20000/9400</f>
        <v>2.1276595744680851</v>
      </c>
    </row>
    <row r="99" spans="2:9">
      <c r="B99" s="296"/>
      <c r="C99" s="92"/>
      <c r="D99" s="174" t="s">
        <v>395</v>
      </c>
      <c r="E99" s="92"/>
      <c r="F99" s="156">
        <v>1200</v>
      </c>
      <c r="G99" s="93" t="s">
        <v>396</v>
      </c>
      <c r="H99" s="159" t="s">
        <v>338</v>
      </c>
      <c r="I99" s="158">
        <f>900/250</f>
        <v>3.6</v>
      </c>
    </row>
    <row r="100" spans="2:9">
      <c r="B100" s="296"/>
      <c r="C100" s="92"/>
      <c r="D100" s="174" t="s">
        <v>397</v>
      </c>
      <c r="E100" s="92"/>
      <c r="F100" s="156">
        <v>950</v>
      </c>
      <c r="G100" s="93" t="s">
        <v>398</v>
      </c>
      <c r="H100" s="159" t="s">
        <v>338</v>
      </c>
      <c r="I100" s="158">
        <f>2500/250</f>
        <v>10</v>
      </c>
    </row>
    <row r="101" spans="2:9">
      <c r="B101" s="296"/>
      <c r="C101" s="92"/>
      <c r="D101" s="174" t="s">
        <v>399</v>
      </c>
      <c r="E101" s="92"/>
      <c r="F101" s="156">
        <v>1850</v>
      </c>
      <c r="G101" s="93" t="s">
        <v>231</v>
      </c>
      <c r="H101" s="101" t="s">
        <v>400</v>
      </c>
      <c r="I101" s="158">
        <f>3500/700</f>
        <v>5</v>
      </c>
    </row>
    <row r="102" spans="2:9">
      <c r="B102" s="296"/>
      <c r="C102" s="92"/>
      <c r="D102" s="174" t="s">
        <v>277</v>
      </c>
      <c r="E102" s="92"/>
      <c r="F102" s="156">
        <v>1600</v>
      </c>
      <c r="G102" s="93"/>
      <c r="H102" s="101"/>
      <c r="I102" s="161"/>
    </row>
    <row r="103" spans="2:9">
      <c r="B103" s="296"/>
      <c r="C103" s="92"/>
      <c r="D103" s="174" t="s">
        <v>401</v>
      </c>
      <c r="E103" s="92"/>
      <c r="F103" s="156">
        <v>3000</v>
      </c>
      <c r="G103" s="93"/>
      <c r="H103" s="101"/>
      <c r="I103" s="161"/>
    </row>
    <row r="104" spans="2:9">
      <c r="B104" s="296"/>
      <c r="C104" s="102" t="s">
        <v>234</v>
      </c>
      <c r="D104" s="102" t="s">
        <v>402</v>
      </c>
      <c r="E104" s="102" t="s">
        <v>163</v>
      </c>
      <c r="F104" s="162">
        <v>1550</v>
      </c>
      <c r="G104" s="103"/>
      <c r="H104" s="104"/>
      <c r="I104" s="166"/>
    </row>
    <row r="105" spans="2:9">
      <c r="B105" s="296"/>
      <c r="C105" s="92"/>
      <c r="D105" s="92" t="s">
        <v>231</v>
      </c>
      <c r="E105" s="92"/>
      <c r="F105" s="156">
        <v>2390</v>
      </c>
      <c r="G105" s="93"/>
      <c r="H105" s="101"/>
      <c r="I105" s="161"/>
    </row>
    <row r="106" spans="2:9">
      <c r="B106" s="296"/>
      <c r="C106" s="92"/>
      <c r="D106" s="92" t="s">
        <v>403</v>
      </c>
      <c r="E106" s="92"/>
      <c r="F106" s="156">
        <v>1200</v>
      </c>
      <c r="G106" s="93"/>
      <c r="H106" s="101"/>
      <c r="I106" s="161"/>
    </row>
    <row r="107" spans="2:9">
      <c r="B107" s="296"/>
      <c r="C107" s="102" t="s">
        <v>278</v>
      </c>
      <c r="D107" s="102" t="s">
        <v>278</v>
      </c>
      <c r="E107" s="192" t="s">
        <v>163</v>
      </c>
      <c r="F107" s="162">
        <v>1800</v>
      </c>
      <c r="G107" s="103"/>
      <c r="H107" s="104"/>
      <c r="I107" s="166"/>
    </row>
    <row r="108" spans="2:9">
      <c r="B108" s="296"/>
      <c r="C108" s="92"/>
      <c r="D108" s="92" t="s">
        <v>278</v>
      </c>
      <c r="E108" s="174" t="s">
        <v>279</v>
      </c>
      <c r="F108" s="156">
        <v>2200</v>
      </c>
      <c r="G108" s="93"/>
      <c r="H108" s="101"/>
      <c r="I108" s="161"/>
    </row>
    <row r="109" spans="2:9">
      <c r="B109" s="296"/>
      <c r="C109" s="102" t="s">
        <v>235</v>
      </c>
      <c r="D109" s="192" t="s">
        <v>231</v>
      </c>
      <c r="E109" s="102" t="s">
        <v>163</v>
      </c>
      <c r="F109" s="162">
        <v>2300</v>
      </c>
      <c r="G109" s="103"/>
      <c r="H109" s="104"/>
      <c r="I109" s="166"/>
    </row>
    <row r="110" spans="2:9">
      <c r="B110" s="296"/>
      <c r="C110" s="92"/>
      <c r="D110" s="174" t="s">
        <v>404</v>
      </c>
      <c r="E110" s="92"/>
      <c r="F110" s="156">
        <v>1800</v>
      </c>
      <c r="G110" s="93"/>
      <c r="H110" s="101"/>
      <c r="I110" s="161"/>
    </row>
    <row r="111" spans="2:9">
      <c r="B111" s="296"/>
      <c r="C111" s="92"/>
      <c r="D111" s="174" t="s">
        <v>405</v>
      </c>
      <c r="E111" s="92"/>
      <c r="F111" s="156">
        <v>1600</v>
      </c>
      <c r="G111" s="93"/>
      <c r="H111" s="101"/>
      <c r="I111" s="161"/>
    </row>
    <row r="112" spans="2:9">
      <c r="B112" s="296"/>
      <c r="C112" s="102" t="s">
        <v>281</v>
      </c>
      <c r="D112" s="192" t="s">
        <v>406</v>
      </c>
      <c r="E112" s="102" t="s">
        <v>279</v>
      </c>
      <c r="F112" s="162">
        <v>1150</v>
      </c>
      <c r="G112" s="103"/>
      <c r="H112" s="104"/>
      <c r="I112" s="166"/>
    </row>
    <row r="113" spans="2:9">
      <c r="B113" s="296"/>
      <c r="C113" s="102" t="s">
        <v>236</v>
      </c>
      <c r="D113" s="192" t="s">
        <v>407</v>
      </c>
      <c r="E113" s="102" t="s">
        <v>163</v>
      </c>
      <c r="F113" s="162">
        <v>1200</v>
      </c>
      <c r="G113" s="103"/>
      <c r="H113" s="104"/>
      <c r="I113" s="166"/>
    </row>
    <row r="114" spans="2:9">
      <c r="B114" s="296"/>
      <c r="C114" s="92"/>
      <c r="D114" s="174" t="s">
        <v>408</v>
      </c>
      <c r="E114" s="92"/>
      <c r="F114" s="156">
        <v>850</v>
      </c>
      <c r="G114" s="93"/>
      <c r="H114" s="101"/>
      <c r="I114" s="161"/>
    </row>
    <row r="115" spans="2:9">
      <c r="B115" s="296"/>
      <c r="C115" s="92"/>
      <c r="D115" s="174" t="s">
        <v>409</v>
      </c>
      <c r="E115" s="92"/>
      <c r="F115" s="156">
        <v>3500</v>
      </c>
      <c r="G115" s="93"/>
      <c r="H115" s="101"/>
      <c r="I115" s="161"/>
    </row>
    <row r="116" spans="2:9">
      <c r="B116" s="296"/>
      <c r="C116" s="102" t="s">
        <v>282</v>
      </c>
      <c r="D116" s="102" t="s">
        <v>410</v>
      </c>
      <c r="E116" s="102" t="s">
        <v>163</v>
      </c>
      <c r="F116" s="162">
        <v>1400</v>
      </c>
      <c r="G116" s="103"/>
      <c r="H116" s="104"/>
      <c r="I116" s="166"/>
    </row>
    <row r="117" spans="2:9">
      <c r="B117" s="296"/>
      <c r="C117" s="192" t="s">
        <v>237</v>
      </c>
      <c r="D117" s="192" t="s">
        <v>231</v>
      </c>
      <c r="E117" s="102" t="s">
        <v>163</v>
      </c>
      <c r="F117" s="162">
        <v>4005</v>
      </c>
      <c r="G117" s="195" t="s">
        <v>411</v>
      </c>
      <c r="H117" s="171" t="s">
        <v>374</v>
      </c>
      <c r="I117" s="193">
        <f>1000/2000</f>
        <v>0.5</v>
      </c>
    </row>
    <row r="118" spans="2:9">
      <c r="B118" s="296"/>
      <c r="C118" s="92"/>
      <c r="D118" s="174" t="s">
        <v>412</v>
      </c>
      <c r="E118" s="92"/>
      <c r="F118" s="156">
        <v>2505</v>
      </c>
      <c r="G118" s="93"/>
      <c r="H118" s="101"/>
      <c r="I118" s="194"/>
    </row>
    <row r="119" spans="2:9">
      <c r="B119" s="296"/>
      <c r="C119" s="92"/>
      <c r="D119" s="174" t="s">
        <v>283</v>
      </c>
      <c r="E119" s="92"/>
      <c r="F119" s="156">
        <v>4000</v>
      </c>
      <c r="G119" s="93"/>
      <c r="H119" s="101"/>
      <c r="I119" s="194"/>
    </row>
    <row r="120" spans="2:9">
      <c r="B120" s="296"/>
      <c r="C120" s="92"/>
      <c r="D120" s="174" t="s">
        <v>283</v>
      </c>
      <c r="E120" s="92"/>
      <c r="F120" s="156">
        <v>1605</v>
      </c>
      <c r="G120" s="93"/>
      <c r="H120" s="101"/>
      <c r="I120" s="194"/>
    </row>
    <row r="121" spans="2:9">
      <c r="B121" s="296"/>
      <c r="C121" s="192" t="s">
        <v>238</v>
      </c>
      <c r="D121" s="192" t="s">
        <v>413</v>
      </c>
      <c r="E121" s="102" t="s">
        <v>163</v>
      </c>
      <c r="F121" s="162">
        <v>1550</v>
      </c>
      <c r="G121" s="181" t="s">
        <v>284</v>
      </c>
      <c r="H121" s="159" t="s">
        <v>414</v>
      </c>
      <c r="I121" s="196">
        <f>1000/360</f>
        <v>2.7777777777777777</v>
      </c>
    </row>
    <row r="122" spans="2:9">
      <c r="B122" s="296"/>
      <c r="C122" s="92"/>
      <c r="D122" s="174" t="s">
        <v>415</v>
      </c>
      <c r="E122" s="92"/>
      <c r="F122" s="156">
        <v>1250</v>
      </c>
      <c r="G122" s="181"/>
      <c r="H122" s="159"/>
      <c r="I122" s="196"/>
    </row>
    <row r="123" spans="2:9">
      <c r="B123" s="296"/>
      <c r="C123" s="92"/>
      <c r="D123" s="174" t="s">
        <v>416</v>
      </c>
      <c r="E123" s="92"/>
      <c r="F123" s="156">
        <v>1200</v>
      </c>
      <c r="G123" s="93"/>
      <c r="H123" s="101"/>
      <c r="I123" s="194"/>
    </row>
    <row r="124" spans="2:9">
      <c r="B124" s="296"/>
      <c r="C124" s="92"/>
      <c r="D124" s="92"/>
      <c r="E124" s="92"/>
      <c r="F124" s="160"/>
      <c r="G124" s="93"/>
      <c r="H124" s="101"/>
      <c r="I124" s="194"/>
    </row>
    <row r="125" spans="2:9">
      <c r="B125" s="296"/>
      <c r="C125" s="102" t="s">
        <v>239</v>
      </c>
      <c r="D125" s="192" t="s">
        <v>182</v>
      </c>
      <c r="E125" s="102" t="s">
        <v>163</v>
      </c>
      <c r="F125" s="162">
        <v>1600</v>
      </c>
      <c r="G125" s="103"/>
      <c r="H125" s="104"/>
      <c r="I125" s="197"/>
    </row>
    <row r="126" spans="2:9" ht="13.5" thickBot="1">
      <c r="B126" s="298"/>
      <c r="C126" s="184"/>
      <c r="D126" s="198" t="s">
        <v>417</v>
      </c>
      <c r="E126" s="184"/>
      <c r="F126" s="199">
        <v>1850</v>
      </c>
      <c r="G126" s="186"/>
      <c r="H126" s="187"/>
      <c r="I126" s="200"/>
    </row>
    <row r="127" spans="2:9" ht="15.75" thickBot="1">
      <c r="B127" s="230"/>
      <c r="C127" s="286" t="s">
        <v>116</v>
      </c>
      <c r="D127" s="286"/>
      <c r="E127" s="286"/>
      <c r="F127" s="128">
        <f>ROUND(AVERAGE(F98:F126),2)</f>
        <v>1953.75</v>
      </c>
      <c r="G127" s="201"/>
      <c r="H127" s="202"/>
      <c r="I127" s="129">
        <f>ROUND(AVERAGE(I98:I126),2)</f>
        <v>4</v>
      </c>
    </row>
    <row r="128" spans="2:9">
      <c r="B128" s="295" t="s">
        <v>240</v>
      </c>
      <c r="C128" s="88" t="s">
        <v>119</v>
      </c>
      <c r="D128" s="191" t="s">
        <v>418</v>
      </c>
      <c r="E128" s="88" t="s">
        <v>163</v>
      </c>
      <c r="F128" s="155">
        <v>1500</v>
      </c>
      <c r="G128" s="89" t="s">
        <v>419</v>
      </c>
      <c r="H128" s="176" t="s">
        <v>420</v>
      </c>
      <c r="I128" s="177">
        <f>4090/1153</f>
        <v>3.5472679965307892</v>
      </c>
    </row>
    <row r="129" spans="2:9">
      <c r="B129" s="296"/>
      <c r="C129" s="92"/>
      <c r="D129" s="174" t="s">
        <v>421</v>
      </c>
      <c r="E129" s="92"/>
      <c r="F129" s="156">
        <v>1800</v>
      </c>
      <c r="G129" s="181" t="s">
        <v>422</v>
      </c>
      <c r="H129" s="159" t="s">
        <v>423</v>
      </c>
      <c r="I129" s="158">
        <f>1800/300</f>
        <v>6</v>
      </c>
    </row>
    <row r="130" spans="2:9">
      <c r="B130" s="296"/>
      <c r="C130" s="92"/>
      <c r="D130" s="174" t="s">
        <v>424</v>
      </c>
      <c r="E130" s="92"/>
      <c r="F130" s="156">
        <v>1800</v>
      </c>
      <c r="G130" s="181" t="s">
        <v>425</v>
      </c>
      <c r="H130" s="159" t="s">
        <v>426</v>
      </c>
      <c r="I130" s="158">
        <f>1950/209</f>
        <v>9.330143540669857</v>
      </c>
    </row>
    <row r="131" spans="2:9" ht="15">
      <c r="B131" s="296"/>
      <c r="C131" s="92"/>
      <c r="D131" s="92"/>
      <c r="E131" s="92"/>
      <c r="F131" s="160"/>
      <c r="G131" s="181" t="s">
        <v>280</v>
      </c>
      <c r="H131" s="159" t="s">
        <v>427</v>
      </c>
      <c r="I131" s="306">
        <f>5000/797</f>
        <v>6.2735257214554583</v>
      </c>
    </row>
    <row r="132" spans="2:9">
      <c r="B132" s="296"/>
      <c r="C132" s="92"/>
      <c r="D132" s="92"/>
      <c r="E132" s="92"/>
      <c r="F132" s="160"/>
      <c r="G132" s="181" t="s">
        <v>428</v>
      </c>
      <c r="H132" s="159" t="s">
        <v>429</v>
      </c>
      <c r="I132" s="158">
        <f>2000/878</f>
        <v>2.2779043280182232</v>
      </c>
    </row>
    <row r="133" spans="2:9">
      <c r="B133" s="296"/>
      <c r="C133" s="102" t="s">
        <v>241</v>
      </c>
      <c r="D133" s="192" t="s">
        <v>285</v>
      </c>
      <c r="E133" s="102" t="s">
        <v>163</v>
      </c>
      <c r="F133" s="162">
        <v>1100</v>
      </c>
      <c r="G133" s="195" t="s">
        <v>242</v>
      </c>
      <c r="H133" s="171" t="s">
        <v>430</v>
      </c>
      <c r="I133" s="163">
        <f>3000/840</f>
        <v>3.5714285714285716</v>
      </c>
    </row>
    <row r="134" spans="2:9">
      <c r="B134" s="296"/>
      <c r="C134" s="92"/>
      <c r="D134" s="174" t="s">
        <v>431</v>
      </c>
      <c r="E134" s="92"/>
      <c r="F134" s="156">
        <v>1050</v>
      </c>
      <c r="G134" s="93" t="s">
        <v>242</v>
      </c>
      <c r="H134" s="101" t="s">
        <v>432</v>
      </c>
      <c r="I134" s="158">
        <f>3000/870</f>
        <v>3.4482758620689653</v>
      </c>
    </row>
    <row r="135" spans="2:9">
      <c r="B135" s="296"/>
      <c r="C135" s="92"/>
      <c r="D135" s="174" t="s">
        <v>433</v>
      </c>
      <c r="E135" s="92"/>
      <c r="F135" s="156">
        <v>1200</v>
      </c>
      <c r="G135" s="93" t="s">
        <v>434</v>
      </c>
      <c r="H135" s="159" t="s">
        <v>435</v>
      </c>
      <c r="I135" s="158">
        <f>1000/950</f>
        <v>1.0526315789473684</v>
      </c>
    </row>
    <row r="136" spans="2:9">
      <c r="B136" s="296"/>
      <c r="C136" s="92"/>
      <c r="D136" s="92"/>
      <c r="E136" s="92"/>
      <c r="F136" s="160"/>
      <c r="G136" s="93" t="s">
        <v>436</v>
      </c>
      <c r="H136" s="159" t="s">
        <v>437</v>
      </c>
      <c r="I136" s="158">
        <f>6300/3189</f>
        <v>1.9755409219190969</v>
      </c>
    </row>
    <row r="137" spans="2:9">
      <c r="B137" s="296"/>
      <c r="C137" s="102" t="s">
        <v>243</v>
      </c>
      <c r="D137" s="102" t="s">
        <v>287</v>
      </c>
      <c r="E137" s="102" t="s">
        <v>163</v>
      </c>
      <c r="F137" s="162">
        <v>1470</v>
      </c>
      <c r="G137" s="103" t="s">
        <v>286</v>
      </c>
      <c r="H137" s="171" t="s">
        <v>438</v>
      </c>
      <c r="I137" s="163">
        <f>3500/46000</f>
        <v>7.6086956521739135E-2</v>
      </c>
    </row>
    <row r="138" spans="2:9">
      <c r="B138" s="296"/>
      <c r="C138" s="92"/>
      <c r="D138" s="174" t="s">
        <v>244</v>
      </c>
      <c r="E138" s="92"/>
      <c r="F138" s="156">
        <v>1600</v>
      </c>
      <c r="G138" s="93" t="s">
        <v>231</v>
      </c>
      <c r="H138" s="159" t="s">
        <v>439</v>
      </c>
      <c r="I138" s="158">
        <f>800/347</f>
        <v>2.3054755043227666</v>
      </c>
    </row>
    <row r="139" spans="2:9">
      <c r="B139" s="296"/>
      <c r="C139" s="92"/>
      <c r="D139" s="174" t="s">
        <v>440</v>
      </c>
      <c r="E139" s="92"/>
      <c r="F139" s="156">
        <v>1200</v>
      </c>
      <c r="G139" s="93"/>
      <c r="H139" s="101"/>
      <c r="I139" s="161"/>
    </row>
    <row r="140" spans="2:9">
      <c r="B140" s="296"/>
      <c r="C140" s="102" t="s">
        <v>245</v>
      </c>
      <c r="D140" s="192" t="s">
        <v>441</v>
      </c>
      <c r="E140" s="102" t="s">
        <v>163</v>
      </c>
      <c r="F140" s="162">
        <v>2800</v>
      </c>
      <c r="G140" s="103" t="s">
        <v>231</v>
      </c>
      <c r="H140" s="104" t="s">
        <v>442</v>
      </c>
      <c r="I140" s="163">
        <f>3000/343</f>
        <v>8.7463556851311957</v>
      </c>
    </row>
    <row r="141" spans="2:9">
      <c r="B141" s="296"/>
      <c r="C141" s="92"/>
      <c r="D141" s="174" t="s">
        <v>443</v>
      </c>
      <c r="E141" s="92"/>
      <c r="F141" s="156">
        <v>850</v>
      </c>
      <c r="G141" s="97" t="s">
        <v>444</v>
      </c>
      <c r="H141" s="101" t="s">
        <v>445</v>
      </c>
      <c r="I141" s="158">
        <f>1000/182</f>
        <v>5.4945054945054945</v>
      </c>
    </row>
    <row r="142" spans="2:9">
      <c r="B142" s="296"/>
      <c r="C142" s="102" t="s">
        <v>118</v>
      </c>
      <c r="D142" s="192" t="s">
        <v>231</v>
      </c>
      <c r="E142" s="102" t="s">
        <v>163</v>
      </c>
      <c r="F142" s="162">
        <v>1250</v>
      </c>
      <c r="G142" s="181" t="s">
        <v>246</v>
      </c>
      <c r="H142" s="171" t="s">
        <v>446</v>
      </c>
      <c r="I142" s="163">
        <f>4500/3000</f>
        <v>1.5</v>
      </c>
    </row>
    <row r="143" spans="2:9">
      <c r="B143" s="296"/>
      <c r="C143" s="92"/>
      <c r="D143" s="174" t="s">
        <v>447</v>
      </c>
      <c r="E143" s="92"/>
      <c r="F143" s="156">
        <v>2400</v>
      </c>
      <c r="G143" s="181" t="s">
        <v>231</v>
      </c>
      <c r="H143" s="159" t="s">
        <v>448</v>
      </c>
      <c r="I143" s="158">
        <f>1800/870</f>
        <v>2.0689655172413794</v>
      </c>
    </row>
    <row r="144" spans="2:9">
      <c r="B144" s="296"/>
      <c r="C144" s="92"/>
      <c r="D144" s="174" t="s">
        <v>449</v>
      </c>
      <c r="E144" s="92"/>
      <c r="F144" s="156">
        <v>1642</v>
      </c>
      <c r="G144" s="181" t="s">
        <v>231</v>
      </c>
      <c r="H144" s="159" t="s">
        <v>450</v>
      </c>
      <c r="I144" s="158">
        <f>3000/340</f>
        <v>8.8235294117647065</v>
      </c>
    </row>
    <row r="145" spans="2:9">
      <c r="B145" s="296"/>
      <c r="C145" s="102" t="s">
        <v>120</v>
      </c>
      <c r="D145" s="102" t="s">
        <v>288</v>
      </c>
      <c r="E145" s="102" t="s">
        <v>163</v>
      </c>
      <c r="F145" s="162">
        <v>1700</v>
      </c>
      <c r="G145" s="195" t="s">
        <v>289</v>
      </c>
      <c r="H145" s="171" t="s">
        <v>451</v>
      </c>
      <c r="I145" s="163">
        <f>1000/250</f>
        <v>4</v>
      </c>
    </row>
    <row r="146" spans="2:9" ht="13.5" thickBot="1">
      <c r="B146" s="298"/>
      <c r="C146" s="184"/>
      <c r="D146" s="198" t="s">
        <v>290</v>
      </c>
      <c r="E146" s="184"/>
      <c r="F146" s="199">
        <v>1500</v>
      </c>
      <c r="G146" s="186"/>
      <c r="H146" s="187"/>
      <c r="I146" s="188" t="s">
        <v>452</v>
      </c>
    </row>
    <row r="147" spans="2:9" ht="15.75" thickBot="1">
      <c r="B147" s="231"/>
      <c r="C147" s="300" t="s">
        <v>116</v>
      </c>
      <c r="D147" s="300"/>
      <c r="E147" s="300"/>
      <c r="F147" s="121">
        <f>ROUND(AVERAGE(F128:F146),2)</f>
        <v>1553.88</v>
      </c>
      <c r="G147" s="122"/>
      <c r="H147" s="123"/>
      <c r="I147" s="124">
        <f>ROUND(AVERAGE(I128:I146),2)</f>
        <v>4.1500000000000004</v>
      </c>
    </row>
    <row r="148" spans="2:9">
      <c r="B148" s="295" t="s">
        <v>247</v>
      </c>
      <c r="C148" s="88" t="s">
        <v>122</v>
      </c>
      <c r="D148" s="191" t="s">
        <v>453</v>
      </c>
      <c r="E148" s="191" t="s">
        <v>248</v>
      </c>
      <c r="F148" s="155">
        <v>2300</v>
      </c>
      <c r="G148" s="89" t="s">
        <v>454</v>
      </c>
      <c r="H148" s="176" t="s">
        <v>455</v>
      </c>
      <c r="I148" s="203">
        <f>1500/360</f>
        <v>4.166666666666667</v>
      </c>
    </row>
    <row r="149" spans="2:9">
      <c r="B149" s="296"/>
      <c r="C149" s="92"/>
      <c r="D149" s="92" t="s">
        <v>456</v>
      </c>
      <c r="E149" s="92"/>
      <c r="F149" s="156">
        <v>2500</v>
      </c>
      <c r="G149" s="93" t="s">
        <v>291</v>
      </c>
      <c r="H149" s="159" t="s">
        <v>457</v>
      </c>
      <c r="I149" s="196">
        <f>2200/700</f>
        <v>3.1428571428571428</v>
      </c>
    </row>
    <row r="150" spans="2:9">
      <c r="B150" s="296"/>
      <c r="C150" s="92"/>
      <c r="D150" s="174" t="s">
        <v>458</v>
      </c>
      <c r="E150" s="92"/>
      <c r="F150" s="156">
        <v>2800</v>
      </c>
      <c r="G150" s="181" t="s">
        <v>231</v>
      </c>
      <c r="H150" s="159" t="s">
        <v>459</v>
      </c>
      <c r="I150" s="196">
        <f>4000/400</f>
        <v>10</v>
      </c>
    </row>
    <row r="151" spans="2:9">
      <c r="B151" s="296"/>
      <c r="C151" s="92"/>
      <c r="D151" s="174" t="s">
        <v>460</v>
      </c>
      <c r="E151" s="92"/>
      <c r="F151" s="156">
        <v>2300</v>
      </c>
      <c r="G151" s="181" t="s">
        <v>249</v>
      </c>
      <c r="H151" s="159" t="s">
        <v>461</v>
      </c>
      <c r="I151" s="196">
        <f>2000/373</f>
        <v>5.3619302949061662</v>
      </c>
    </row>
    <row r="152" spans="2:9">
      <c r="B152" s="296"/>
      <c r="C152" s="92"/>
      <c r="D152" s="92"/>
      <c r="E152" s="92"/>
      <c r="F152" s="160"/>
      <c r="G152" s="181" t="s">
        <v>264</v>
      </c>
      <c r="H152" s="159" t="s">
        <v>462</v>
      </c>
      <c r="I152" s="196">
        <f>3500/1991</f>
        <v>1.7579105976896032</v>
      </c>
    </row>
    <row r="153" spans="2:9">
      <c r="B153" s="296"/>
      <c r="C153" s="102" t="s">
        <v>250</v>
      </c>
      <c r="D153" s="192" t="s">
        <v>231</v>
      </c>
      <c r="E153" s="102" t="s">
        <v>248</v>
      </c>
      <c r="F153" s="162">
        <v>4000</v>
      </c>
      <c r="G153" s="195" t="s">
        <v>463</v>
      </c>
      <c r="H153" s="171" t="s">
        <v>464</v>
      </c>
      <c r="I153" s="193">
        <f>1350/750</f>
        <v>1.8</v>
      </c>
    </row>
    <row r="154" spans="2:9">
      <c r="B154" s="296"/>
      <c r="C154" s="92"/>
      <c r="D154" s="174" t="s">
        <v>465</v>
      </c>
      <c r="E154" s="92"/>
      <c r="F154" s="156">
        <v>2700</v>
      </c>
      <c r="G154" s="174" t="s">
        <v>251</v>
      </c>
      <c r="H154" s="159" t="s">
        <v>466</v>
      </c>
      <c r="I154" s="196">
        <f>3000/2000</f>
        <v>1.5</v>
      </c>
    </row>
    <row r="155" spans="2:9">
      <c r="B155" s="296"/>
      <c r="C155" s="92"/>
      <c r="D155" s="174" t="s">
        <v>467</v>
      </c>
      <c r="E155" s="92"/>
      <c r="F155" s="156">
        <v>4500</v>
      </c>
      <c r="G155" s="181" t="s">
        <v>468</v>
      </c>
      <c r="H155" s="159" t="s">
        <v>469</v>
      </c>
      <c r="I155" s="196">
        <f>2000/419</f>
        <v>4.7732696897374698</v>
      </c>
    </row>
    <row r="156" spans="2:9">
      <c r="B156" s="296"/>
      <c r="C156" s="92"/>
      <c r="D156" s="92"/>
      <c r="E156" s="92"/>
      <c r="F156" s="160"/>
      <c r="G156" s="181"/>
      <c r="H156" s="159"/>
      <c r="I156" s="196"/>
    </row>
    <row r="157" spans="2:9">
      <c r="B157" s="296"/>
      <c r="C157" s="92"/>
      <c r="D157" s="92"/>
      <c r="E157" s="92"/>
      <c r="F157" s="160"/>
      <c r="G157" s="93"/>
      <c r="H157" s="101"/>
      <c r="I157" s="194"/>
    </row>
    <row r="158" spans="2:9">
      <c r="B158" s="296"/>
      <c r="C158" s="102" t="s">
        <v>252</v>
      </c>
      <c r="D158" s="192" t="s">
        <v>292</v>
      </c>
      <c r="E158" s="102" t="s">
        <v>248</v>
      </c>
      <c r="F158" s="162">
        <v>1500</v>
      </c>
      <c r="G158" s="103"/>
      <c r="H158" s="104"/>
      <c r="I158" s="197"/>
    </row>
    <row r="159" spans="2:9">
      <c r="B159" s="296"/>
      <c r="C159" s="92"/>
      <c r="D159" s="174" t="s">
        <v>470</v>
      </c>
      <c r="E159" s="92"/>
      <c r="F159" s="156">
        <v>2650</v>
      </c>
      <c r="G159" s="93"/>
      <c r="H159" s="101"/>
      <c r="I159" s="194"/>
    </row>
    <row r="160" spans="2:9">
      <c r="B160" s="296"/>
      <c r="C160" s="102" t="s">
        <v>253</v>
      </c>
      <c r="D160" s="102" t="s">
        <v>471</v>
      </c>
      <c r="E160" s="102" t="s">
        <v>248</v>
      </c>
      <c r="F160" s="162">
        <v>1350</v>
      </c>
      <c r="G160" s="103"/>
      <c r="H160" s="104"/>
      <c r="I160" s="197"/>
    </row>
    <row r="161" spans="2:9">
      <c r="B161" s="296"/>
      <c r="C161" s="92"/>
      <c r="D161" s="92" t="s">
        <v>472</v>
      </c>
      <c r="E161" s="92"/>
      <c r="F161" s="156">
        <v>3000</v>
      </c>
      <c r="G161" s="97"/>
      <c r="H161" s="101"/>
      <c r="I161" s="194"/>
    </row>
    <row r="162" spans="2:9">
      <c r="B162" s="296"/>
      <c r="C162" s="102" t="s">
        <v>121</v>
      </c>
      <c r="D162" s="192" t="s">
        <v>473</v>
      </c>
      <c r="E162" s="102" t="s">
        <v>248</v>
      </c>
      <c r="F162" s="162">
        <v>1600</v>
      </c>
      <c r="G162" s="181" t="s">
        <v>293</v>
      </c>
      <c r="H162" s="171" t="s">
        <v>474</v>
      </c>
      <c r="I162" s="193">
        <f>1500/455</f>
        <v>3.2967032967032965</v>
      </c>
    </row>
    <row r="163" spans="2:9">
      <c r="B163" s="296"/>
      <c r="C163" s="92"/>
      <c r="D163" s="174" t="s">
        <v>475</v>
      </c>
      <c r="E163" s="92"/>
      <c r="F163" s="156">
        <v>1700</v>
      </c>
      <c r="G163" s="181" t="s">
        <v>476</v>
      </c>
      <c r="H163" s="159" t="s">
        <v>477</v>
      </c>
      <c r="I163" s="196">
        <f>2500/525</f>
        <v>4.7619047619047619</v>
      </c>
    </row>
    <row r="164" spans="2:9">
      <c r="B164" s="296"/>
      <c r="C164" s="102" t="s">
        <v>254</v>
      </c>
      <c r="D164" s="102" t="s">
        <v>231</v>
      </c>
      <c r="E164" s="102" t="s">
        <v>248</v>
      </c>
      <c r="F164" s="162">
        <v>1500</v>
      </c>
      <c r="G164" s="103"/>
      <c r="H164" s="104"/>
      <c r="I164" s="197"/>
    </row>
    <row r="165" spans="2:9">
      <c r="B165" s="296"/>
      <c r="C165" s="102" t="s">
        <v>255</v>
      </c>
      <c r="D165" s="192" t="s">
        <v>478</v>
      </c>
      <c r="E165" s="102" t="s">
        <v>248</v>
      </c>
      <c r="F165" s="162">
        <v>1200</v>
      </c>
      <c r="G165" s="103" t="s">
        <v>256</v>
      </c>
      <c r="H165" s="171" t="s">
        <v>479</v>
      </c>
      <c r="I165" s="193">
        <f>2500/450</f>
        <v>5.5555555555555554</v>
      </c>
    </row>
    <row r="166" spans="2:9">
      <c r="B166" s="296"/>
      <c r="C166" s="92"/>
      <c r="D166" s="174" t="s">
        <v>480</v>
      </c>
      <c r="E166" s="92" t="s">
        <v>481</v>
      </c>
      <c r="F166" s="156">
        <v>1000</v>
      </c>
      <c r="G166" s="93"/>
      <c r="H166" s="101"/>
      <c r="I166" s="194"/>
    </row>
    <row r="167" spans="2:9">
      <c r="B167" s="296"/>
      <c r="C167" s="92"/>
      <c r="D167" s="92" t="s">
        <v>257</v>
      </c>
      <c r="E167" s="92" t="s">
        <v>481</v>
      </c>
      <c r="F167" s="156">
        <v>2800</v>
      </c>
      <c r="G167" s="93"/>
      <c r="H167" s="101"/>
      <c r="I167" s="194"/>
    </row>
    <row r="168" spans="2:9">
      <c r="B168" s="296"/>
      <c r="C168" s="92"/>
      <c r="D168" s="92"/>
      <c r="E168" s="92"/>
      <c r="F168" s="156"/>
      <c r="G168" s="93"/>
      <c r="H168" s="101"/>
      <c r="I168" s="194"/>
    </row>
    <row r="169" spans="2:9">
      <c r="B169" s="296"/>
      <c r="C169" s="92"/>
      <c r="D169" s="92"/>
      <c r="E169" s="92"/>
      <c r="F169" s="160"/>
      <c r="G169" s="93"/>
      <c r="H169" s="101"/>
      <c r="I169" s="194"/>
    </row>
    <row r="170" spans="2:9">
      <c r="B170" s="296"/>
      <c r="C170" s="102" t="s">
        <v>258</v>
      </c>
      <c r="D170" s="192" t="s">
        <v>380</v>
      </c>
      <c r="E170" s="102" t="s">
        <v>248</v>
      </c>
      <c r="F170" s="162">
        <v>2300</v>
      </c>
      <c r="G170" s="103" t="s">
        <v>482</v>
      </c>
      <c r="H170" s="171" t="s">
        <v>483</v>
      </c>
      <c r="I170" s="193">
        <f>2500/6182.23</f>
        <v>0.40438482554029859</v>
      </c>
    </row>
    <row r="171" spans="2:9">
      <c r="B171" s="296"/>
      <c r="C171" s="92"/>
      <c r="D171" s="174" t="s">
        <v>294</v>
      </c>
      <c r="E171" s="92"/>
      <c r="F171" s="156">
        <v>1100</v>
      </c>
      <c r="G171" s="181" t="s">
        <v>296</v>
      </c>
      <c r="H171" s="159" t="s">
        <v>484</v>
      </c>
      <c r="I171" s="196">
        <f>1875/363.4</f>
        <v>5.1596037424325818</v>
      </c>
    </row>
    <row r="172" spans="2:9">
      <c r="B172" s="296"/>
      <c r="C172" s="92"/>
      <c r="D172" s="92" t="s">
        <v>294</v>
      </c>
      <c r="E172" s="92" t="s">
        <v>481</v>
      </c>
      <c r="F172" s="156">
        <v>1450</v>
      </c>
      <c r="G172" s="181" t="s">
        <v>295</v>
      </c>
      <c r="H172" s="159" t="s">
        <v>485</v>
      </c>
      <c r="I172" s="196">
        <f>3750/1090</f>
        <v>3.4403669724770642</v>
      </c>
    </row>
    <row r="173" spans="2:9">
      <c r="B173" s="296"/>
      <c r="C173" s="92"/>
      <c r="D173" s="174" t="s">
        <v>486</v>
      </c>
      <c r="E173" s="92"/>
      <c r="F173" s="156">
        <v>1200</v>
      </c>
      <c r="G173" s="93"/>
      <c r="H173" s="101"/>
      <c r="I173" s="194"/>
    </row>
    <row r="174" spans="2:9">
      <c r="B174" s="296"/>
      <c r="C174" s="240" t="s">
        <v>259</v>
      </c>
      <c r="D174" s="192" t="s">
        <v>231</v>
      </c>
      <c r="E174" s="102" t="s">
        <v>248</v>
      </c>
      <c r="F174" s="162">
        <v>1150</v>
      </c>
      <c r="G174" s="103"/>
      <c r="H174" s="104"/>
      <c r="I174" s="197"/>
    </row>
    <row r="175" spans="2:9">
      <c r="B175" s="296"/>
      <c r="C175" s="92"/>
      <c r="D175" s="174" t="s">
        <v>260</v>
      </c>
      <c r="E175" s="92"/>
      <c r="F175" s="156">
        <v>800</v>
      </c>
      <c r="G175" s="93"/>
      <c r="H175" s="101"/>
      <c r="I175" s="194"/>
    </row>
    <row r="176" spans="2:9">
      <c r="B176" s="296"/>
      <c r="C176" s="102" t="s">
        <v>261</v>
      </c>
      <c r="D176" s="102" t="s">
        <v>231</v>
      </c>
      <c r="E176" s="102" t="s">
        <v>481</v>
      </c>
      <c r="F176" s="162">
        <v>800</v>
      </c>
      <c r="G176" s="180" t="s">
        <v>231</v>
      </c>
      <c r="H176" s="232" t="s">
        <v>487</v>
      </c>
      <c r="I176" s="204">
        <f>450/320</f>
        <v>1.40625</v>
      </c>
    </row>
    <row r="177" spans="2:9">
      <c r="B177" s="296"/>
      <c r="C177" s="192" t="s">
        <v>115</v>
      </c>
      <c r="D177" s="192" t="s">
        <v>488</v>
      </c>
      <c r="E177" s="102" t="s">
        <v>248</v>
      </c>
      <c r="F177" s="162">
        <v>2400</v>
      </c>
      <c r="G177" s="181" t="s">
        <v>297</v>
      </c>
      <c r="H177" s="159" t="s">
        <v>489</v>
      </c>
      <c r="I177" s="196">
        <f>2000/470</f>
        <v>4.2553191489361701</v>
      </c>
    </row>
    <row r="178" spans="2:9">
      <c r="B178" s="296"/>
      <c r="C178" s="92"/>
      <c r="D178" s="174" t="s">
        <v>490</v>
      </c>
      <c r="E178" s="92"/>
      <c r="F178" s="156">
        <v>2200</v>
      </c>
      <c r="G178" s="181" t="s">
        <v>297</v>
      </c>
      <c r="H178" s="159" t="s">
        <v>491</v>
      </c>
      <c r="I178" s="196">
        <f>2000/944.62</f>
        <v>2.1172534987614067</v>
      </c>
    </row>
    <row r="179" spans="2:9">
      <c r="B179" s="296"/>
      <c r="C179" s="92"/>
      <c r="D179" s="174" t="s">
        <v>231</v>
      </c>
      <c r="E179" s="92"/>
      <c r="F179" s="156">
        <v>1900</v>
      </c>
      <c r="G179" s="181"/>
      <c r="H179" s="159"/>
      <c r="I179" s="196"/>
    </row>
    <row r="180" spans="2:9">
      <c r="B180" s="296"/>
      <c r="C180" s="92"/>
      <c r="D180" s="92"/>
      <c r="E180" s="92"/>
      <c r="F180" s="160"/>
      <c r="G180" s="181"/>
      <c r="H180" s="159"/>
      <c r="I180" s="196"/>
    </row>
    <row r="181" spans="2:9">
      <c r="B181" s="296"/>
      <c r="C181" s="192" t="s">
        <v>262</v>
      </c>
      <c r="D181" s="192" t="s">
        <v>263</v>
      </c>
      <c r="E181" s="192" t="s">
        <v>481</v>
      </c>
      <c r="F181" s="162">
        <v>1040</v>
      </c>
      <c r="G181" s="103"/>
      <c r="H181" s="104"/>
      <c r="I181" s="205"/>
    </row>
    <row r="182" spans="2:9">
      <c r="B182" s="296"/>
      <c r="C182" s="92"/>
      <c r="D182" s="174"/>
      <c r="E182" s="92"/>
      <c r="F182" s="156"/>
      <c r="G182" s="93"/>
      <c r="H182" s="101"/>
      <c r="I182" s="206"/>
    </row>
    <row r="183" spans="2:9" ht="13.5" thickBot="1">
      <c r="B183" s="298"/>
      <c r="C183" s="184"/>
      <c r="D183" s="198"/>
      <c r="E183" s="184"/>
      <c r="F183" s="199"/>
      <c r="G183" s="186"/>
      <c r="H183" s="187"/>
      <c r="I183" s="207"/>
    </row>
    <row r="184" spans="2:9" ht="15.75" thickBot="1">
      <c r="B184" s="233"/>
      <c r="C184" s="301" t="s">
        <v>116</v>
      </c>
      <c r="D184" s="301"/>
      <c r="E184" s="301"/>
      <c r="F184" s="130">
        <f>ROUND(AVERAGE(F148:F183),2)</f>
        <v>1990.71</v>
      </c>
      <c r="G184" s="131"/>
      <c r="H184" s="132"/>
      <c r="I184" s="133">
        <f>ROUND(AVERAGE(I148:I183),2)</f>
        <v>3.7</v>
      </c>
    </row>
    <row r="185" spans="2:9" ht="13.5" thickBot="1"/>
    <row r="186" spans="2:9" ht="15.75" thickBot="1">
      <c r="B186" s="287" t="s">
        <v>123</v>
      </c>
      <c r="C186" s="288"/>
      <c r="D186" s="302"/>
      <c r="E186" s="136"/>
      <c r="F186" s="234">
        <f>ROUND(AVERAGE(F78,F97,F127,F147,F184),2)</f>
        <v>2088.5500000000002</v>
      </c>
      <c r="G186" s="137"/>
      <c r="H186" s="138"/>
      <c r="I186" s="235">
        <f>ROUND(AVERAGE(I78,I97,I127,I147,I184),2)</f>
        <v>3.64</v>
      </c>
    </row>
  </sheetData>
  <mergeCells count="15">
    <mergeCell ref="B128:B146"/>
    <mergeCell ref="C147:E147"/>
    <mergeCell ref="B148:B183"/>
    <mergeCell ref="C184:E184"/>
    <mergeCell ref="B186:D186"/>
    <mergeCell ref="C127:E127"/>
    <mergeCell ref="B2:I2"/>
    <mergeCell ref="B3:B4"/>
    <mergeCell ref="C3:C4"/>
    <mergeCell ref="D3:I3"/>
    <mergeCell ref="B5:B77"/>
    <mergeCell ref="C78:E78"/>
    <mergeCell ref="B79:B96"/>
    <mergeCell ref="C97:E97"/>
    <mergeCell ref="B98:B126"/>
  </mergeCells>
  <pageMargins left="2.598425196850394" right="0.23622047244094491" top="0.74803149606299213" bottom="0.74803149606299213" header="0.31496062992125984" footer="0.31496062992125984"/>
  <pageSetup paperSize="8" scale="3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314F5-0C35-40BD-8B13-29564B7B117B}">
  <dimension ref="B2:F32"/>
  <sheetViews>
    <sheetView workbookViewId="0">
      <selection activeCell="B27" sqref="B27:F27"/>
    </sheetView>
  </sheetViews>
  <sheetFormatPr defaultRowHeight="12.75"/>
  <sheetData>
    <row r="2" spans="2:6">
      <c r="B2" t="s">
        <v>306</v>
      </c>
    </row>
    <row r="4" spans="2:6">
      <c r="B4" t="s">
        <v>307</v>
      </c>
    </row>
    <row r="6" spans="2:6">
      <c r="B6" t="s">
        <v>308</v>
      </c>
    </row>
    <row r="8" spans="2:6">
      <c r="B8" t="s">
        <v>309</v>
      </c>
    </row>
    <row r="10" spans="2:6">
      <c r="B10" t="s">
        <v>310</v>
      </c>
    </row>
    <row r="14" spans="2:6">
      <c r="B14" s="216" t="s">
        <v>317</v>
      </c>
      <c r="C14" s="216"/>
      <c r="D14" s="216"/>
      <c r="E14" s="216"/>
    </row>
    <row r="15" spans="2:6">
      <c r="B15" t="s">
        <v>311</v>
      </c>
      <c r="C15" t="s">
        <v>312</v>
      </c>
      <c r="D15" t="s">
        <v>313</v>
      </c>
      <c r="E15" t="s">
        <v>314</v>
      </c>
      <c r="F15" t="s">
        <v>315</v>
      </c>
    </row>
    <row r="16" spans="2:6">
      <c r="B16" s="214">
        <v>45536</v>
      </c>
      <c r="C16" s="215">
        <v>1899.71</v>
      </c>
      <c r="D16">
        <v>0.2</v>
      </c>
      <c r="E16">
        <v>4.12</v>
      </c>
      <c r="F16">
        <v>4.7300000000000004</v>
      </c>
    </row>
    <row r="17" spans="2:6">
      <c r="B17" s="214">
        <v>45566</v>
      </c>
      <c r="C17" s="215">
        <v>1906.55</v>
      </c>
      <c r="D17">
        <v>0.36</v>
      </c>
      <c r="E17">
        <v>4.5</v>
      </c>
      <c r="F17">
        <v>4.97</v>
      </c>
    </row>
    <row r="18" spans="2:6">
      <c r="B18" s="214">
        <v>45597</v>
      </c>
      <c r="C18" s="215">
        <v>1913.78</v>
      </c>
      <c r="D18">
        <v>0.38</v>
      </c>
      <c r="E18">
        <v>4.8899999999999997</v>
      </c>
      <c r="F18">
        <v>5.29</v>
      </c>
    </row>
    <row r="19" spans="2:6">
      <c r="B19" s="214">
        <v>45627</v>
      </c>
      <c r="C19" s="215">
        <v>1921.12</v>
      </c>
      <c r="D19">
        <v>0.38</v>
      </c>
      <c r="E19">
        <v>5.29</v>
      </c>
      <c r="F19">
        <v>5.29</v>
      </c>
    </row>
    <row r="20" spans="2:6">
      <c r="B20" s="214">
        <v>45658</v>
      </c>
      <c r="C20" s="215">
        <v>1930.61</v>
      </c>
      <c r="D20">
        <v>0.49</v>
      </c>
      <c r="E20">
        <v>0.49</v>
      </c>
      <c r="F20">
        <v>5.66</v>
      </c>
    </row>
    <row r="21" spans="2:6">
      <c r="B21" s="214">
        <v>45689</v>
      </c>
      <c r="C21" s="215">
        <v>1939.24</v>
      </c>
      <c r="D21">
        <v>0.45</v>
      </c>
      <c r="E21">
        <v>0.94</v>
      </c>
      <c r="F21">
        <v>5.84</v>
      </c>
    </row>
    <row r="22" spans="2:6">
      <c r="B22" s="214">
        <v>45717</v>
      </c>
      <c r="C22" s="215">
        <v>1944.46</v>
      </c>
      <c r="D22">
        <v>0.27</v>
      </c>
      <c r="E22">
        <v>1.21</v>
      </c>
      <c r="F22">
        <v>6.37</v>
      </c>
    </row>
    <row r="23" spans="2:6">
      <c r="B23" s="214">
        <v>45748</v>
      </c>
      <c r="C23" s="215">
        <v>1953.62</v>
      </c>
      <c r="D23">
        <v>0.47</v>
      </c>
      <c r="E23">
        <v>1.69</v>
      </c>
      <c r="F23">
        <v>6.74</v>
      </c>
    </row>
    <row r="24" spans="2:6">
      <c r="B24" s="214">
        <v>45778</v>
      </c>
      <c r="C24" s="215">
        <v>1957.47</v>
      </c>
      <c r="D24">
        <v>0.2</v>
      </c>
      <c r="E24">
        <v>1.89</v>
      </c>
      <c r="F24">
        <v>6.87</v>
      </c>
    </row>
    <row r="25" spans="2:6">
      <c r="B25" s="214">
        <v>45809</v>
      </c>
      <c r="C25" s="215">
        <v>1967.83</v>
      </c>
      <c r="D25">
        <v>0.53</v>
      </c>
      <c r="E25">
        <v>2.4300000000000002</v>
      </c>
      <c r="F25">
        <v>6.86</v>
      </c>
    </row>
    <row r="26" spans="2:6">
      <c r="B26" s="214">
        <v>45839</v>
      </c>
      <c r="C26" s="215">
        <v>1970.46</v>
      </c>
      <c r="D26">
        <v>0.13</v>
      </c>
      <c r="E26">
        <v>2.57</v>
      </c>
      <c r="F26">
        <v>6.88</v>
      </c>
    </row>
    <row r="27" spans="2:6">
      <c r="B27" s="219">
        <v>45870</v>
      </c>
      <c r="C27" s="220">
        <v>2025.49</v>
      </c>
      <c r="D27" s="217">
        <v>2.79</v>
      </c>
      <c r="E27" s="217">
        <v>5.43</v>
      </c>
      <c r="F27" s="217">
        <v>6.83</v>
      </c>
    </row>
    <row r="28" spans="2:6">
      <c r="F28" t="s">
        <v>316</v>
      </c>
    </row>
    <row r="30" spans="2:6">
      <c r="B30" t="s">
        <v>318</v>
      </c>
    </row>
    <row r="32" spans="2:6">
      <c r="B32" t="s">
        <v>319</v>
      </c>
    </row>
  </sheetData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050D0-3E30-4593-8A88-856297CAF12B}">
  <dimension ref="B3:P79"/>
  <sheetViews>
    <sheetView topLeftCell="A28" workbookViewId="0">
      <selection activeCell="I76" sqref="I76"/>
    </sheetView>
  </sheetViews>
  <sheetFormatPr defaultRowHeight="12.75"/>
  <sheetData>
    <row r="3" spans="2:15" ht="27.75" customHeight="1">
      <c r="B3" s="304" t="s">
        <v>321</v>
      </c>
      <c r="C3" s="304"/>
      <c r="D3" s="304"/>
      <c r="E3" s="304"/>
      <c r="F3" s="304"/>
      <c r="G3" s="304"/>
      <c r="H3" s="304"/>
      <c r="I3" s="304"/>
      <c r="J3" s="304"/>
      <c r="K3" s="304"/>
      <c r="L3" s="304"/>
      <c r="M3" s="304"/>
      <c r="N3" s="304"/>
      <c r="O3" s="304"/>
    </row>
    <row r="4" spans="2:15">
      <c r="B4" s="218" t="s">
        <v>322</v>
      </c>
    </row>
    <row r="32" spans="2:16" ht="18.75" customHeight="1">
      <c r="B32" s="303" t="s">
        <v>323</v>
      </c>
      <c r="C32" s="303"/>
      <c r="D32" s="303"/>
      <c r="E32" s="303"/>
      <c r="F32" s="303"/>
      <c r="G32" s="303"/>
      <c r="H32" s="303"/>
      <c r="I32" s="303"/>
      <c r="J32" s="303"/>
      <c r="K32" s="303"/>
      <c r="L32" s="303"/>
      <c r="M32" s="303"/>
      <c r="N32" s="303"/>
      <c r="O32" s="303"/>
      <c r="P32" s="303"/>
    </row>
    <row r="33" spans="2:2">
      <c r="B33" s="218" t="s">
        <v>322</v>
      </c>
    </row>
    <row r="79" spans="2:2">
      <c r="B79" s="218"/>
    </row>
  </sheetData>
  <mergeCells count="2">
    <mergeCell ref="B32:P32"/>
    <mergeCell ref="B3:O3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</vt:i4>
      </vt:variant>
    </vt:vector>
  </HeadingPairs>
  <TitlesOfParts>
    <vt:vector size="7" baseType="lpstr">
      <vt:lpstr>CO</vt:lpstr>
      <vt:lpstr>Fator</vt:lpstr>
      <vt:lpstr>Dimensionamento</vt:lpstr>
      <vt:lpstr>Cotações regionais</vt:lpstr>
      <vt:lpstr>CMCC_Sinduscon_PR</vt:lpstr>
      <vt:lpstr>Dimensionamento SESMT</vt:lpstr>
      <vt:lpstr>CO!Area_de_impressao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JMK</dc:creator>
  <cp:lastModifiedBy>Viviane Giamberardino</cp:lastModifiedBy>
  <cp:lastPrinted>2025-10-28T13:25:07Z</cp:lastPrinted>
  <dcterms:created xsi:type="dcterms:W3CDTF">2022-03-22T15:05:09Z</dcterms:created>
  <dcterms:modified xsi:type="dcterms:W3CDTF">2025-10-28T14:29:15Z</dcterms:modified>
</cp:coreProperties>
</file>