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g-dt-cco\ADM LOCAL_Canteiro_Mob_Desmob_AGOSTO_2025_modelos\"/>
    </mc:Choice>
  </mc:AlternateContent>
  <xr:revisionPtr revIDLastSave="0" documentId="13_ncr:1_{15B12D6E-AC84-4FAC-87E1-F1C6A03072C0}" xr6:coauthVersionLast="36" xr6:coauthVersionMax="36" xr10:uidLastSave="{00000000-0000-0000-0000-000000000000}"/>
  <bookViews>
    <workbookView xWindow="-21720" yWindow="-2160" windowWidth="21840" windowHeight="13140" tabRatio="733" activeTab="6" xr2:uid="{00000000-000D-0000-FFFF-FFFF00000000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  <sheet name="DER-PR_FU (2)" sheetId="11" r:id="rId8"/>
  </sheets>
  <externalReferences>
    <externalReference r:id="rId9"/>
    <externalReference r:id="rId10"/>
  </externalReferences>
  <definedNames>
    <definedName name="_xlnm.Print_Area" localSheetId="4">MD_EQ!$A$1:$M$160</definedName>
    <definedName name="_xlnm.Print_Area" localSheetId="6">MD_MO!$A$1:$L$74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7">#REF!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9" l="1"/>
  <c r="G49" i="9"/>
  <c r="G48" i="9"/>
  <c r="G47" i="9"/>
  <c r="G46" i="9"/>
  <c r="G45" i="9"/>
  <c r="G16" i="9" l="1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5" i="9"/>
  <c r="G14" i="9"/>
  <c r="G13" i="9"/>
  <c r="G12" i="9"/>
  <c r="G11" i="9"/>
  <c r="G10" i="9"/>
  <c r="L84" i="9" l="1"/>
  <c r="L83" i="9"/>
  <c r="L82" i="9"/>
  <c r="B214" i="5"/>
  <c r="B213" i="5"/>
  <c r="B212" i="5"/>
  <c r="C103" i="3" l="1"/>
  <c r="C102" i="3"/>
  <c r="C2" i="3"/>
  <c r="E160" i="11" l="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8" i="11"/>
  <c r="E137" i="11"/>
  <c r="E136" i="11"/>
  <c r="E135" i="11"/>
  <c r="E134" i="11"/>
  <c r="E133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7" i="11"/>
  <c r="C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0" i="11"/>
  <c r="E9" i="11"/>
  <c r="E8" i="11"/>
  <c r="E7" i="11"/>
  <c r="E6" i="11"/>
  <c r="E5" i="11"/>
  <c r="E4" i="11"/>
  <c r="E3" i="11"/>
  <c r="E2" i="11"/>
  <c r="M84" i="9" l="1"/>
  <c r="M83" i="9"/>
  <c r="M82" i="9"/>
  <c r="K83" i="9"/>
  <c r="K84" i="9"/>
  <c r="K82" i="9"/>
  <c r="J85" i="9"/>
  <c r="J83" i="9"/>
  <c r="J84" i="9"/>
  <c r="J82" i="9"/>
  <c r="G78" i="9"/>
  <c r="G77" i="9"/>
  <c r="G76" i="9"/>
  <c r="G79" i="9" s="1"/>
  <c r="M85" i="9" l="1"/>
  <c r="R20" i="5"/>
  <c r="Q22" i="5"/>
  <c r="P22" i="5"/>
  <c r="O22" i="5"/>
  <c r="U22" i="5" s="1"/>
  <c r="Q21" i="5"/>
  <c r="P21" i="5"/>
  <c r="O21" i="5"/>
  <c r="T21" i="5" s="1"/>
  <c r="Q20" i="5"/>
  <c r="P20" i="5"/>
  <c r="O20" i="5"/>
  <c r="U20" i="5" l="1"/>
  <c r="U21" i="5"/>
  <c r="T20" i="5"/>
  <c r="T22" i="5"/>
  <c r="U19" i="5" l="1"/>
  <c r="D214" i="5" s="1"/>
  <c r="T19" i="5"/>
  <c r="C214" i="5" s="1"/>
  <c r="E52" i="8"/>
  <c r="E50" i="8"/>
  <c r="F40" i="7" l="1"/>
  <c r="H40" i="7"/>
  <c r="I40" i="7"/>
  <c r="G40" i="7" s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J40" i="7" l="1"/>
  <c r="F13" i="7" l="1"/>
  <c r="H13" i="7"/>
  <c r="I13" i="7"/>
  <c r="G13" i="7" s="1"/>
  <c r="F14" i="7"/>
  <c r="H14" i="7"/>
  <c r="F15" i="7"/>
  <c r="H15" i="7"/>
  <c r="F16" i="7"/>
  <c r="H16" i="7"/>
  <c r="I16" i="7"/>
  <c r="J16" i="7" s="1"/>
  <c r="F17" i="7"/>
  <c r="H17" i="7"/>
  <c r="I17" i="7"/>
  <c r="J17" i="7" s="1"/>
  <c r="F18" i="7"/>
  <c r="H18" i="7"/>
  <c r="I18" i="7"/>
  <c r="J18" i="7" s="1"/>
  <c r="F19" i="7"/>
  <c r="H19" i="7"/>
  <c r="I19" i="7"/>
  <c r="G19" i="7" s="1"/>
  <c r="F20" i="7"/>
  <c r="H20" i="7"/>
  <c r="I20" i="7"/>
  <c r="G20" i="7" s="1"/>
  <c r="F21" i="7"/>
  <c r="H21" i="7"/>
  <c r="I21" i="7"/>
  <c r="G21" i="7" s="1"/>
  <c r="F22" i="7"/>
  <c r="H22" i="7"/>
  <c r="I22" i="7"/>
  <c r="J22" i="7" s="1"/>
  <c r="F23" i="7"/>
  <c r="H23" i="7"/>
  <c r="I23" i="7"/>
  <c r="J23" i="7" s="1"/>
  <c r="F24" i="7"/>
  <c r="H24" i="7"/>
  <c r="I24" i="7"/>
  <c r="J24" i="7" s="1"/>
  <c r="F25" i="7"/>
  <c r="H25" i="7"/>
  <c r="I25" i="7"/>
  <c r="J25" i="7" s="1"/>
  <c r="F26" i="7"/>
  <c r="H26" i="7"/>
  <c r="I26" i="7"/>
  <c r="J26" i="7" s="1"/>
  <c r="F27" i="7"/>
  <c r="H27" i="7"/>
  <c r="I27" i="7"/>
  <c r="G27" i="7" s="1"/>
  <c r="F28" i="7"/>
  <c r="H28" i="7"/>
  <c r="I28" i="7"/>
  <c r="G28" i="7" s="1"/>
  <c r="F29" i="7"/>
  <c r="H29" i="7"/>
  <c r="I29" i="7"/>
  <c r="J29" i="7" s="1"/>
  <c r="F30" i="7"/>
  <c r="H30" i="7"/>
  <c r="I30" i="7"/>
  <c r="G30" i="7" s="1"/>
  <c r="F31" i="7"/>
  <c r="H31" i="7"/>
  <c r="I31" i="7"/>
  <c r="J31" i="7" s="1"/>
  <c r="F32" i="7"/>
  <c r="H32" i="7"/>
  <c r="I32" i="7"/>
  <c r="J32" i="7" s="1"/>
  <c r="F33" i="7"/>
  <c r="H33" i="7"/>
  <c r="I33" i="7"/>
  <c r="J33" i="7" s="1"/>
  <c r="F34" i="7"/>
  <c r="H34" i="7"/>
  <c r="I34" i="7"/>
  <c r="G34" i="7" s="1"/>
  <c r="F35" i="7"/>
  <c r="H35" i="7"/>
  <c r="I35" i="7"/>
  <c r="G35" i="7" s="1"/>
  <c r="F36" i="7"/>
  <c r="H36" i="7"/>
  <c r="I36" i="7"/>
  <c r="G36" i="7" s="1"/>
  <c r="F37" i="7"/>
  <c r="H37" i="7"/>
  <c r="I37" i="7"/>
  <c r="J37" i="7" s="1"/>
  <c r="F38" i="7"/>
  <c r="H38" i="7"/>
  <c r="I38" i="7"/>
  <c r="G38" i="7" s="1"/>
  <c r="F39" i="7"/>
  <c r="H39" i="7"/>
  <c r="I39" i="7"/>
  <c r="J39" i="7" s="1"/>
  <c r="F41" i="7"/>
  <c r="H41" i="7"/>
  <c r="I41" i="7"/>
  <c r="F42" i="7"/>
  <c r="H42" i="7"/>
  <c r="I42" i="7"/>
  <c r="G42" i="7" s="1"/>
  <c r="F43" i="7"/>
  <c r="H43" i="7"/>
  <c r="I43" i="7"/>
  <c r="G43" i="7" s="1"/>
  <c r="F44" i="7"/>
  <c r="H44" i="7"/>
  <c r="I44" i="7"/>
  <c r="G44" i="7" s="1"/>
  <c r="F45" i="7"/>
  <c r="H45" i="7"/>
  <c r="I45" i="7"/>
  <c r="F46" i="7"/>
  <c r="H46" i="7"/>
  <c r="I46" i="7"/>
  <c r="G46" i="7" s="1"/>
  <c r="F47" i="7"/>
  <c r="H47" i="7"/>
  <c r="I47" i="7"/>
  <c r="F48" i="7"/>
  <c r="H48" i="7"/>
  <c r="I48" i="7"/>
  <c r="G48" i="7" s="1"/>
  <c r="F49" i="7"/>
  <c r="H49" i="7"/>
  <c r="I49" i="7"/>
  <c r="F50" i="7"/>
  <c r="H50" i="7"/>
  <c r="I50" i="7"/>
  <c r="F51" i="7"/>
  <c r="H51" i="7"/>
  <c r="I51" i="7"/>
  <c r="G51" i="7" s="1"/>
  <c r="F52" i="7"/>
  <c r="H52" i="7"/>
  <c r="I52" i="7"/>
  <c r="G52" i="7" s="1"/>
  <c r="F53" i="7"/>
  <c r="H53" i="7"/>
  <c r="I53" i="7"/>
  <c r="J53" i="7" s="1"/>
  <c r="F54" i="7"/>
  <c r="H54" i="7"/>
  <c r="I54" i="7"/>
  <c r="G54" i="7" s="1"/>
  <c r="F55" i="7"/>
  <c r="H55" i="7"/>
  <c r="I55" i="7"/>
  <c r="J55" i="7" s="1"/>
  <c r="F56" i="7"/>
  <c r="H56" i="7"/>
  <c r="I56" i="7"/>
  <c r="G56" i="7" s="1"/>
  <c r="F57" i="7"/>
  <c r="H57" i="7"/>
  <c r="I57" i="7"/>
  <c r="F58" i="7"/>
  <c r="H58" i="7"/>
  <c r="I58" i="7"/>
  <c r="G58" i="7" s="1"/>
  <c r="F59" i="7"/>
  <c r="H59" i="7"/>
  <c r="I59" i="7"/>
  <c r="G59" i="7" s="1"/>
  <c r="F60" i="7"/>
  <c r="H60" i="7"/>
  <c r="I60" i="7"/>
  <c r="G60" i="7" s="1"/>
  <c r="F61" i="7"/>
  <c r="H61" i="7"/>
  <c r="I61" i="7"/>
  <c r="F62" i="7"/>
  <c r="H62" i="7"/>
  <c r="I62" i="7"/>
  <c r="G62" i="7" s="1"/>
  <c r="F63" i="7"/>
  <c r="H63" i="7"/>
  <c r="I63" i="7"/>
  <c r="G63" i="7" s="1"/>
  <c r="F64" i="7"/>
  <c r="H64" i="7"/>
  <c r="I64" i="7"/>
  <c r="G64" i="7" s="1"/>
  <c r="F65" i="7"/>
  <c r="H65" i="7"/>
  <c r="I65" i="7"/>
  <c r="F66" i="7"/>
  <c r="H66" i="7"/>
  <c r="I66" i="7"/>
  <c r="G66" i="7" s="1"/>
  <c r="F67" i="7"/>
  <c r="H67" i="7"/>
  <c r="I67" i="7"/>
  <c r="G67" i="7" s="1"/>
  <c r="F68" i="7"/>
  <c r="H68" i="7"/>
  <c r="I68" i="7"/>
  <c r="G68" i="7" s="1"/>
  <c r="F69" i="7"/>
  <c r="H69" i="7"/>
  <c r="I69" i="7"/>
  <c r="J69" i="7" s="1"/>
  <c r="F70" i="7"/>
  <c r="H70" i="7"/>
  <c r="I70" i="7"/>
  <c r="G70" i="7" s="1"/>
  <c r="F71" i="7"/>
  <c r="H71" i="7"/>
  <c r="I71" i="7"/>
  <c r="G71" i="7" s="1"/>
  <c r="F72" i="7"/>
  <c r="H72" i="7"/>
  <c r="I72" i="7"/>
  <c r="F73" i="7"/>
  <c r="H73" i="7"/>
  <c r="I73" i="7"/>
  <c r="G73" i="7" s="1"/>
  <c r="F74" i="7"/>
  <c r="H74" i="7"/>
  <c r="I74" i="7"/>
  <c r="G74" i="7" s="1"/>
  <c r="F75" i="7"/>
  <c r="H75" i="7"/>
  <c r="I75" i="7"/>
  <c r="G75" i="7" s="1"/>
  <c r="F76" i="7"/>
  <c r="H76" i="7"/>
  <c r="I76" i="7"/>
  <c r="J76" i="7" s="1"/>
  <c r="F77" i="7"/>
  <c r="H77" i="7"/>
  <c r="I77" i="7"/>
  <c r="G77" i="7" s="1"/>
  <c r="F78" i="7"/>
  <c r="H78" i="7"/>
  <c r="I78" i="7"/>
  <c r="F79" i="7"/>
  <c r="H79" i="7"/>
  <c r="I79" i="7"/>
  <c r="G79" i="7" s="1"/>
  <c r="F80" i="7"/>
  <c r="H80" i="7"/>
  <c r="I80" i="7"/>
  <c r="F81" i="7"/>
  <c r="H81" i="7"/>
  <c r="I81" i="7"/>
  <c r="G81" i="7" s="1"/>
  <c r="F82" i="7"/>
  <c r="H82" i="7"/>
  <c r="I82" i="7"/>
  <c r="G82" i="7" s="1"/>
  <c r="F83" i="7"/>
  <c r="H83" i="7"/>
  <c r="I83" i="7"/>
  <c r="G83" i="7" s="1"/>
  <c r="F84" i="7"/>
  <c r="H84" i="7"/>
  <c r="I84" i="7"/>
  <c r="F85" i="7"/>
  <c r="H85" i="7"/>
  <c r="I85" i="7"/>
  <c r="G85" i="7" s="1"/>
  <c r="F86" i="7"/>
  <c r="H86" i="7"/>
  <c r="I86" i="7"/>
  <c r="F87" i="7"/>
  <c r="H87" i="7"/>
  <c r="I87" i="7"/>
  <c r="G87" i="7" s="1"/>
  <c r="F88" i="7"/>
  <c r="H88" i="7"/>
  <c r="I88" i="7"/>
  <c r="F89" i="7"/>
  <c r="H89" i="7"/>
  <c r="I89" i="7"/>
  <c r="G89" i="7" s="1"/>
  <c r="F90" i="7"/>
  <c r="H90" i="7"/>
  <c r="I90" i="7"/>
  <c r="G90" i="7" s="1"/>
  <c r="F91" i="7"/>
  <c r="H91" i="7"/>
  <c r="I91" i="7"/>
  <c r="G91" i="7" s="1"/>
  <c r="F92" i="7"/>
  <c r="H92" i="7"/>
  <c r="I92" i="7"/>
  <c r="J92" i="7" s="1"/>
  <c r="F93" i="7"/>
  <c r="H93" i="7"/>
  <c r="I93" i="7"/>
  <c r="G93" i="7" s="1"/>
  <c r="F94" i="7"/>
  <c r="H94" i="7"/>
  <c r="I94" i="7"/>
  <c r="F95" i="7"/>
  <c r="H95" i="7"/>
  <c r="I95" i="7"/>
  <c r="G95" i="7" s="1"/>
  <c r="F96" i="7"/>
  <c r="H96" i="7"/>
  <c r="I96" i="7"/>
  <c r="F97" i="7"/>
  <c r="H97" i="7"/>
  <c r="I97" i="7"/>
  <c r="G97" i="7" s="1"/>
  <c r="F98" i="7"/>
  <c r="H98" i="7"/>
  <c r="I98" i="7"/>
  <c r="F99" i="7"/>
  <c r="H99" i="7"/>
  <c r="I99" i="7"/>
  <c r="F100" i="7"/>
  <c r="H100" i="7"/>
  <c r="I100" i="7"/>
  <c r="G100" i="7" s="1"/>
  <c r="F101" i="7"/>
  <c r="H101" i="7"/>
  <c r="I101" i="7"/>
  <c r="F102" i="7"/>
  <c r="H102" i="7"/>
  <c r="I102" i="7"/>
  <c r="G102" i="7" s="1"/>
  <c r="F103" i="7"/>
  <c r="H103" i="7"/>
  <c r="I103" i="7"/>
  <c r="G103" i="7" s="1"/>
  <c r="F104" i="7"/>
  <c r="H104" i="7"/>
  <c r="I104" i="7"/>
  <c r="G104" i="7" s="1"/>
  <c r="F105" i="7"/>
  <c r="H105" i="7"/>
  <c r="I105" i="7"/>
  <c r="G105" i="7" s="1"/>
  <c r="F106" i="7"/>
  <c r="H106" i="7"/>
  <c r="I106" i="7"/>
  <c r="G106" i="7" s="1"/>
  <c r="F107" i="7"/>
  <c r="H107" i="7"/>
  <c r="I107" i="7"/>
  <c r="F108" i="7"/>
  <c r="H108" i="7"/>
  <c r="I108" i="7"/>
  <c r="G108" i="7" s="1"/>
  <c r="F109" i="7"/>
  <c r="H109" i="7"/>
  <c r="I109" i="7"/>
  <c r="F110" i="7"/>
  <c r="H110" i="7"/>
  <c r="I110" i="7"/>
  <c r="G110" i="7" s="1"/>
  <c r="F111" i="7"/>
  <c r="H111" i="7"/>
  <c r="I111" i="7"/>
  <c r="G111" i="7" s="1"/>
  <c r="F112" i="7"/>
  <c r="H112" i="7"/>
  <c r="I112" i="7"/>
  <c r="G112" i="7" s="1"/>
  <c r="F113" i="7"/>
  <c r="H113" i="7"/>
  <c r="I113" i="7"/>
  <c r="G113" i="7" s="1"/>
  <c r="F114" i="7"/>
  <c r="H114" i="7"/>
  <c r="I114" i="7"/>
  <c r="G114" i="7" s="1"/>
  <c r="F115" i="7"/>
  <c r="H115" i="7"/>
  <c r="I115" i="7"/>
  <c r="F116" i="7"/>
  <c r="H116" i="7"/>
  <c r="I116" i="7"/>
  <c r="G116" i="7" s="1"/>
  <c r="F117" i="7"/>
  <c r="H117" i="7"/>
  <c r="I117" i="7"/>
  <c r="G117" i="7" s="1"/>
  <c r="F118" i="7"/>
  <c r="H118" i="7"/>
  <c r="I118" i="7"/>
  <c r="G118" i="7" s="1"/>
  <c r="F119" i="7"/>
  <c r="H119" i="7"/>
  <c r="I119" i="7"/>
  <c r="F120" i="7"/>
  <c r="H120" i="7"/>
  <c r="I120" i="7"/>
  <c r="G120" i="7" s="1"/>
  <c r="F121" i="7"/>
  <c r="H121" i="7"/>
  <c r="I121" i="7"/>
  <c r="G121" i="7" s="1"/>
  <c r="F122" i="7"/>
  <c r="H122" i="7"/>
  <c r="I122" i="7"/>
  <c r="G122" i="7" s="1"/>
  <c r="F123" i="7"/>
  <c r="H123" i="7"/>
  <c r="I123" i="7"/>
  <c r="F124" i="7"/>
  <c r="H124" i="7"/>
  <c r="I124" i="7"/>
  <c r="G124" i="7" s="1"/>
  <c r="F125" i="7"/>
  <c r="H125" i="7"/>
  <c r="I125" i="7"/>
  <c r="F126" i="7"/>
  <c r="H126" i="7"/>
  <c r="I126" i="7"/>
  <c r="G126" i="7" s="1"/>
  <c r="F127" i="7"/>
  <c r="H127" i="7"/>
  <c r="I127" i="7"/>
  <c r="F128" i="7"/>
  <c r="H128" i="7"/>
  <c r="I128" i="7"/>
  <c r="G128" i="7" s="1"/>
  <c r="F129" i="7"/>
  <c r="H129" i="7"/>
  <c r="I129" i="7"/>
  <c r="G129" i="7" s="1"/>
  <c r="F130" i="7"/>
  <c r="H130" i="7"/>
  <c r="I130" i="7"/>
  <c r="G130" i="7" s="1"/>
  <c r="F131" i="7"/>
  <c r="H131" i="7"/>
  <c r="I131" i="7"/>
  <c r="F132" i="7"/>
  <c r="H132" i="7"/>
  <c r="I132" i="7"/>
  <c r="G132" i="7" s="1"/>
  <c r="F133" i="7"/>
  <c r="H133" i="7"/>
  <c r="I133" i="7"/>
  <c r="F134" i="7"/>
  <c r="H134" i="7"/>
  <c r="I134" i="7"/>
  <c r="G134" i="7" s="1"/>
  <c r="F135" i="7"/>
  <c r="H135" i="7"/>
  <c r="I135" i="7"/>
  <c r="F136" i="7"/>
  <c r="H136" i="7"/>
  <c r="I136" i="7"/>
  <c r="G136" i="7" s="1"/>
  <c r="F137" i="7"/>
  <c r="H137" i="7"/>
  <c r="I137" i="7"/>
  <c r="G137" i="7" s="1"/>
  <c r="F138" i="7"/>
  <c r="H138" i="7"/>
  <c r="I138" i="7"/>
  <c r="G138" i="7" s="1"/>
  <c r="F139" i="7"/>
  <c r="H139" i="7"/>
  <c r="I139" i="7"/>
  <c r="F140" i="7"/>
  <c r="H140" i="7"/>
  <c r="I140" i="7"/>
  <c r="G140" i="7" s="1"/>
  <c r="F141" i="7"/>
  <c r="H141" i="7"/>
  <c r="I141" i="7"/>
  <c r="F142" i="7"/>
  <c r="H142" i="7"/>
  <c r="I142" i="7"/>
  <c r="G142" i="7" s="1"/>
  <c r="F143" i="7"/>
  <c r="H143" i="7"/>
  <c r="I143" i="7"/>
  <c r="J143" i="7" s="1"/>
  <c r="F144" i="7"/>
  <c r="H144" i="7"/>
  <c r="I144" i="7"/>
  <c r="G144" i="7" s="1"/>
  <c r="F145" i="7"/>
  <c r="H145" i="7"/>
  <c r="I145" i="7"/>
  <c r="G145" i="7" s="1"/>
  <c r="F146" i="7"/>
  <c r="H146" i="7"/>
  <c r="I146" i="7"/>
  <c r="G146" i="7" s="1"/>
  <c r="F147" i="7"/>
  <c r="H147" i="7"/>
  <c r="I147" i="7"/>
  <c r="F148" i="7"/>
  <c r="H148" i="7"/>
  <c r="I148" i="7"/>
  <c r="G148" i="7" s="1"/>
  <c r="F149" i="7"/>
  <c r="H149" i="7"/>
  <c r="I149" i="7"/>
  <c r="H150" i="7"/>
  <c r="I150" i="7"/>
  <c r="G150" i="7" s="1"/>
  <c r="H151" i="7"/>
  <c r="I151" i="7"/>
  <c r="J151" i="7" s="1"/>
  <c r="H152" i="7"/>
  <c r="I152" i="7"/>
  <c r="J152" i="7" s="1"/>
  <c r="H153" i="7"/>
  <c r="I153" i="7"/>
  <c r="G153" i="7" s="1"/>
  <c r="H154" i="7"/>
  <c r="I154" i="7"/>
  <c r="G154" i="7" s="1"/>
  <c r="H155" i="7"/>
  <c r="I155" i="7"/>
  <c r="J155" i="7" s="1"/>
  <c r="I12" i="7"/>
  <c r="H12" i="7"/>
  <c r="B165" i="4"/>
  <c r="B164" i="4"/>
  <c r="B11" i="4"/>
  <c r="I15" i="7" s="1"/>
  <c r="B10" i="4"/>
  <c r="I14" i="7" s="1"/>
  <c r="J14" i="7" s="1"/>
  <c r="B12" i="7"/>
  <c r="J34" i="7" l="1"/>
  <c r="J30" i="7"/>
  <c r="G16" i="7"/>
  <c r="J28" i="7"/>
  <c r="G15" i="7"/>
  <c r="J15" i="7"/>
  <c r="G152" i="7"/>
  <c r="G151" i="7"/>
  <c r="J19" i="7"/>
  <c r="G26" i="7"/>
  <c r="J154" i="7"/>
  <c r="J150" i="7"/>
  <c r="J38" i="7"/>
  <c r="J52" i="7"/>
  <c r="G49" i="7"/>
  <c r="G149" i="7"/>
  <c r="J144" i="7"/>
  <c r="G141" i="7"/>
  <c r="G133" i="7"/>
  <c r="G125" i="7"/>
  <c r="G98" i="7"/>
  <c r="G78" i="7"/>
  <c r="G57" i="7"/>
  <c r="G50" i="7"/>
  <c r="G23" i="7"/>
  <c r="G17" i="7"/>
  <c r="G143" i="7"/>
  <c r="G135" i="7"/>
  <c r="G127" i="7"/>
  <c r="G119" i="7"/>
  <c r="G86" i="7"/>
  <c r="G65" i="7"/>
  <c r="G31" i="7"/>
  <c r="G24" i="7"/>
  <c r="G18" i="7"/>
  <c r="J13" i="7"/>
  <c r="G94" i="7"/>
  <c r="G72" i="7"/>
  <c r="J54" i="7"/>
  <c r="G39" i="7"/>
  <c r="G32" i="7"/>
  <c r="G25" i="7"/>
  <c r="J21" i="7"/>
  <c r="G101" i="7"/>
  <c r="G80" i="7"/>
  <c r="G33" i="7"/>
  <c r="G109" i="7"/>
  <c r="G88" i="7"/>
  <c r="J70" i="7"/>
  <c r="G47" i="7"/>
  <c r="J36" i="7"/>
  <c r="G96" i="7"/>
  <c r="G55" i="7"/>
  <c r="G41" i="7"/>
  <c r="J153" i="7"/>
  <c r="J35" i="7"/>
  <c r="J27" i="7"/>
  <c r="J20" i="7"/>
  <c r="G139" i="7"/>
  <c r="G131" i="7"/>
  <c r="G107" i="7"/>
  <c r="G99" i="7"/>
  <c r="G92" i="7"/>
  <c r="G84" i="7"/>
  <c r="G76" i="7"/>
  <c r="G69" i="7"/>
  <c r="G61" i="7"/>
  <c r="G53" i="7"/>
  <c r="G45" i="7"/>
  <c r="G37" i="7"/>
  <c r="G29" i="7"/>
  <c r="G22" i="7"/>
  <c r="G14" i="7"/>
  <c r="G155" i="7"/>
  <c r="G115" i="7"/>
  <c r="G147" i="7"/>
  <c r="G123" i="7"/>
  <c r="A69" i="9" l="1"/>
  <c r="C69" i="9" s="1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B35" i="9"/>
  <c r="C35" i="9"/>
  <c r="D35" i="9"/>
  <c r="B36" i="9"/>
  <c r="C36" i="9"/>
  <c r="D36" i="9"/>
  <c r="B37" i="9"/>
  <c r="C37" i="9"/>
  <c r="D37" i="9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1" i="8"/>
  <c r="E49" i="8"/>
  <c r="E48" i="8"/>
  <c r="E47" i="8"/>
  <c r="E46" i="8"/>
  <c r="E45" i="8"/>
  <c r="E44" i="8"/>
  <c r="E43" i="8"/>
  <c r="E42" i="8"/>
  <c r="E41" i="8"/>
  <c r="E40" i="8"/>
  <c r="E39" i="8"/>
  <c r="D69" i="9" l="1"/>
  <c r="B69" i="9"/>
  <c r="G12" i="7" l="1"/>
  <c r="F12" i="7"/>
  <c r="Q14" i="5" l="1"/>
  <c r="R17" i="5"/>
  <c r="E58" i="3" l="1"/>
  <c r="E101" i="3" l="1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2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3" i="3"/>
  <c r="E134" i="3"/>
  <c r="E135" i="3"/>
  <c r="E136" i="3"/>
  <c r="E137" i="3"/>
  <c r="E138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07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D19" i="9"/>
  <c r="C19" i="9"/>
  <c r="B19" i="9"/>
  <c r="D18" i="9"/>
  <c r="C18" i="9"/>
  <c r="B18" i="9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D10" i="9"/>
  <c r="C10" i="9"/>
  <c r="B10" i="9"/>
  <c r="E72" i="9" l="1"/>
  <c r="T14" i="5"/>
  <c r="T15" i="5"/>
  <c r="U17" i="5"/>
  <c r="U16" i="5" s="1"/>
  <c r="D213" i="5" s="1"/>
  <c r="U14" i="5"/>
  <c r="T18" i="5"/>
  <c r="U15" i="5"/>
  <c r="T17" i="5"/>
  <c r="T16" i="5" s="1"/>
  <c r="C213" i="5" s="1"/>
  <c r="J12" i="7" s="1"/>
  <c r="G72" i="9" l="1"/>
  <c r="T13" i="5"/>
  <c r="C212" i="5" s="1"/>
  <c r="U13" i="5"/>
  <c r="D212" i="5" s="1"/>
  <c r="G80" i="9" l="1"/>
  <c r="J86" i="9"/>
  <c r="J44" i="7"/>
  <c r="J112" i="7"/>
  <c r="J58" i="7"/>
  <c r="J73" i="7"/>
  <c r="J97" i="7"/>
  <c r="J116" i="7"/>
  <c r="J81" i="7"/>
  <c r="J60" i="7"/>
  <c r="J126" i="7"/>
  <c r="J142" i="7"/>
  <c r="J62" i="7"/>
  <c r="J83" i="7"/>
  <c r="J104" i="7"/>
  <c r="J134" i="7"/>
  <c r="J42" i="7"/>
  <c r="J85" i="7"/>
  <c r="J106" i="7"/>
  <c r="J66" i="7"/>
  <c r="J89" i="7"/>
  <c r="J108" i="7"/>
  <c r="J125" i="7"/>
  <c r="J80" i="7"/>
  <c r="J133" i="7"/>
  <c r="J149" i="7"/>
  <c r="J91" i="7"/>
  <c r="J93" i="7"/>
  <c r="J128" i="7"/>
  <c r="J68" i="7"/>
  <c r="J138" i="7"/>
  <c r="J77" i="7"/>
  <c r="J121" i="7"/>
  <c r="J59" i="7"/>
  <c r="J110" i="7"/>
  <c r="J48" i="7"/>
  <c r="J118" i="7"/>
  <c r="J123" i="7"/>
  <c r="J78" i="7"/>
  <c r="J61" i="7"/>
  <c r="J107" i="7"/>
  <c r="J130" i="7"/>
  <c r="J113" i="7"/>
  <c r="J51" i="7"/>
  <c r="J102" i="7"/>
  <c r="J119" i="7"/>
  <c r="J131" i="7"/>
  <c r="J111" i="7"/>
  <c r="J98" i="7"/>
  <c r="J147" i="7"/>
  <c r="J120" i="7"/>
  <c r="J46" i="7"/>
  <c r="J122" i="7"/>
  <c r="J105" i="7"/>
  <c r="J43" i="7"/>
  <c r="J95" i="7"/>
  <c r="J146" i="7"/>
  <c r="J117" i="7"/>
  <c r="J115" i="7"/>
  <c r="J96" i="7"/>
  <c r="J88" i="7"/>
  <c r="J141" i="7"/>
  <c r="J114" i="7"/>
  <c r="J148" i="7"/>
  <c r="J87" i="7"/>
  <c r="J90" i="7"/>
  <c r="J71" i="7"/>
  <c r="J41" i="7"/>
  <c r="J56" i="7"/>
  <c r="J103" i="7"/>
  <c r="J57" i="7"/>
  <c r="J94" i="7"/>
  <c r="J86" i="7"/>
  <c r="J139" i="7"/>
  <c r="J100" i="7"/>
  <c r="J75" i="7"/>
  <c r="J140" i="7"/>
  <c r="J79" i="7"/>
  <c r="J45" i="7"/>
  <c r="J129" i="7"/>
  <c r="J127" i="7"/>
  <c r="J49" i="7"/>
  <c r="J72" i="7"/>
  <c r="J65" i="7"/>
  <c r="J135" i="7"/>
  <c r="J132" i="7"/>
  <c r="J145" i="7"/>
  <c r="J82" i="7"/>
  <c r="J99" i="7"/>
  <c r="J50" i="7"/>
  <c r="J101" i="7"/>
  <c r="J47" i="7"/>
  <c r="J63" i="7"/>
  <c r="J84" i="7"/>
  <c r="J136" i="7"/>
  <c r="J124" i="7"/>
  <c r="J137" i="7"/>
  <c r="J74" i="7"/>
  <c r="J64" i="7"/>
  <c r="J109" i="7"/>
  <c r="J67" i="7"/>
  <c r="I72" i="9"/>
  <c r="F20" i="2" l="1"/>
  <c r="E24" i="2"/>
  <c r="E30" i="2" s="1"/>
  <c r="E20" i="2"/>
  <c r="E29" i="2" s="1"/>
  <c r="E16" i="2"/>
  <c r="E28" i="2" s="1"/>
  <c r="E12" i="2"/>
  <c r="E27" i="2" s="1"/>
  <c r="E8" i="2"/>
  <c r="E26" i="2" s="1"/>
  <c r="M4" i="7" l="1"/>
  <c r="C40" i="7" s="1"/>
  <c r="M5" i="7"/>
  <c r="D87" i="7" s="1"/>
  <c r="F29" i="2"/>
  <c r="C100" i="7"/>
  <c r="C120" i="7"/>
  <c r="C79" i="7"/>
  <c r="C107" i="7"/>
  <c r="C17" i="7"/>
  <c r="C50" i="7"/>
  <c r="C149" i="7"/>
  <c r="C37" i="7"/>
  <c r="C140" i="7"/>
  <c r="C13" i="7"/>
  <c r="C145" i="7"/>
  <c r="C15" i="7"/>
  <c r="C36" i="7"/>
  <c r="C42" i="7"/>
  <c r="C43" i="7"/>
  <c r="C63" i="7"/>
  <c r="C70" i="7"/>
  <c r="C83" i="7"/>
  <c r="C97" i="7"/>
  <c r="C103" i="7"/>
  <c r="C153" i="7"/>
  <c r="C46" i="7"/>
  <c r="C22" i="7"/>
  <c r="C28" i="7"/>
  <c r="C41" i="7"/>
  <c r="C55" i="7"/>
  <c r="C62" i="7"/>
  <c r="C75" i="7"/>
  <c r="C89" i="7"/>
  <c r="C90" i="7"/>
  <c r="C96" i="7"/>
  <c r="C116" i="7"/>
  <c r="C122" i="7"/>
  <c r="C123" i="7"/>
  <c r="C131" i="7"/>
  <c r="C138" i="7"/>
  <c r="C139" i="7"/>
  <c r="C147" i="7"/>
  <c r="C80" i="7"/>
  <c r="C95" i="7"/>
  <c r="C21" i="7"/>
  <c r="C34" i="7"/>
  <c r="C35" i="7"/>
  <c r="C54" i="7"/>
  <c r="C68" i="7"/>
  <c r="C69" i="7"/>
  <c r="C82" i="7"/>
  <c r="C88" i="7"/>
  <c r="C102" i="7"/>
  <c r="C109" i="7"/>
  <c r="C60" i="7"/>
  <c r="C61" i="7"/>
  <c r="C73" i="7"/>
  <c r="C74" i="7"/>
  <c r="C137" i="7"/>
  <c r="D144" i="7"/>
  <c r="D148" i="7"/>
  <c r="D28" i="7"/>
  <c r="C12" i="7"/>
  <c r="C132" i="7" l="1"/>
  <c r="C141" i="7"/>
  <c r="C101" i="7"/>
  <c r="C65" i="7"/>
  <c r="C87" i="7"/>
  <c r="C124" i="7"/>
  <c r="C133" i="7"/>
  <c r="C33" i="7"/>
  <c r="C59" i="7"/>
  <c r="C53" i="7"/>
  <c r="C111" i="7"/>
  <c r="C112" i="7"/>
  <c r="C143" i="7"/>
  <c r="C45" i="7"/>
  <c r="C52" i="7"/>
  <c r="C91" i="7"/>
  <c r="C78" i="7"/>
  <c r="C127" i="7"/>
  <c r="C18" i="7"/>
  <c r="C39" i="7"/>
  <c r="C77" i="7"/>
  <c r="C71" i="7"/>
  <c r="C126" i="7"/>
  <c r="C121" i="7"/>
  <c r="M121" i="7" s="1"/>
  <c r="C27" i="7"/>
  <c r="C64" i="7"/>
  <c r="C57" i="7"/>
  <c r="C119" i="7"/>
  <c r="C115" i="7"/>
  <c r="C25" i="7"/>
  <c r="C108" i="7"/>
  <c r="C128" i="7"/>
  <c r="D97" i="7"/>
  <c r="M97" i="7" s="1"/>
  <c r="D71" i="7"/>
  <c r="D52" i="7"/>
  <c r="D68" i="7"/>
  <c r="M68" i="7" s="1"/>
  <c r="D63" i="7"/>
  <c r="D23" i="7"/>
  <c r="D19" i="7"/>
  <c r="C47" i="7"/>
  <c r="C146" i="7"/>
  <c r="C110" i="7"/>
  <c r="C48" i="7"/>
  <c r="C117" i="7"/>
  <c r="C56" i="7"/>
  <c r="C26" i="7"/>
  <c r="C118" i="7"/>
  <c r="C49" i="7"/>
  <c r="C125" i="7"/>
  <c r="C51" i="7"/>
  <c r="C150" i="7"/>
  <c r="C113" i="7"/>
  <c r="C58" i="7"/>
  <c r="C114" i="7"/>
  <c r="C94" i="7"/>
  <c r="C32" i="7"/>
  <c r="D139" i="7"/>
  <c r="M139" i="7" s="1"/>
  <c r="D122" i="7"/>
  <c r="D95" i="7"/>
  <c r="C154" i="7"/>
  <c r="C105" i="7"/>
  <c r="C99" i="7"/>
  <c r="C44" i="7"/>
  <c r="C142" i="7"/>
  <c r="C106" i="7"/>
  <c r="C38" i="7"/>
  <c r="C151" i="7"/>
  <c r="C72" i="7"/>
  <c r="M72" i="7" s="1"/>
  <c r="C20" i="7"/>
  <c r="D143" i="7"/>
  <c r="M143" i="7" s="1"/>
  <c r="D90" i="7"/>
  <c r="M90" i="7" s="1"/>
  <c r="C155" i="7"/>
  <c r="C104" i="7"/>
  <c r="C16" i="7"/>
  <c r="C98" i="7"/>
  <c r="C30" i="7"/>
  <c r="C135" i="7"/>
  <c r="C93" i="7"/>
  <c r="C31" i="7"/>
  <c r="C144" i="7"/>
  <c r="M144" i="7" s="1"/>
  <c r="C67" i="7"/>
  <c r="C19" i="7"/>
  <c r="D29" i="7"/>
  <c r="D121" i="7"/>
  <c r="D14" i="7"/>
  <c r="D126" i="7"/>
  <c r="M126" i="7" s="1"/>
  <c r="D105" i="7"/>
  <c r="D86" i="7"/>
  <c r="D62" i="7"/>
  <c r="M62" i="7" s="1"/>
  <c r="D16" i="7"/>
  <c r="D45" i="7"/>
  <c r="C81" i="7"/>
  <c r="C14" i="7"/>
  <c r="M14" i="7" s="1"/>
  <c r="C130" i="7"/>
  <c r="C76" i="7"/>
  <c r="C152" i="7"/>
  <c r="C84" i="7"/>
  <c r="C29" i="7"/>
  <c r="C148" i="7"/>
  <c r="M148" i="7" s="1"/>
  <c r="C92" i="7"/>
  <c r="C129" i="7"/>
  <c r="C85" i="7"/>
  <c r="C23" i="7"/>
  <c r="C134" i="7"/>
  <c r="C86" i="7"/>
  <c r="C24" i="7"/>
  <c r="C136" i="7"/>
  <c r="C66" i="7"/>
  <c r="D154" i="7"/>
  <c r="D112" i="7"/>
  <c r="D26" i="7"/>
  <c r="D40" i="7"/>
  <c r="M40" i="7" s="1"/>
  <c r="D13" i="7"/>
  <c r="M13" i="7" s="1"/>
  <c r="D12" i="7"/>
  <c r="D138" i="7"/>
  <c r="M138" i="7" s="1"/>
  <c r="D89" i="7"/>
  <c r="M89" i="7" s="1"/>
  <c r="D22" i="7"/>
  <c r="M22" i="7" s="1"/>
  <c r="D56" i="7"/>
  <c r="D132" i="7"/>
  <c r="D64" i="7"/>
  <c r="M64" i="7" s="1"/>
  <c r="D149" i="7"/>
  <c r="M149" i="7" s="1"/>
  <c r="D51" i="7"/>
  <c r="D142" i="7"/>
  <c r="D113" i="7"/>
  <c r="D38" i="7"/>
  <c r="M38" i="7" s="1"/>
  <c r="D128" i="7"/>
  <c r="D72" i="7"/>
  <c r="D39" i="7"/>
  <c r="M39" i="7" s="1"/>
  <c r="D152" i="7"/>
  <c r="D115" i="7"/>
  <c r="M115" i="7" s="1"/>
  <c r="D80" i="7"/>
  <c r="M80" i="7" s="1"/>
  <c r="D147" i="7"/>
  <c r="M147" i="7" s="1"/>
  <c r="D131" i="7"/>
  <c r="M131" i="7" s="1"/>
  <c r="D110" i="7"/>
  <c r="M110" i="7" s="1"/>
  <c r="D76" i="7"/>
  <c r="M76" i="7" s="1"/>
  <c r="D48" i="7"/>
  <c r="D109" i="7"/>
  <c r="M109" i="7" s="1"/>
  <c r="D103" i="7"/>
  <c r="M103" i="7" s="1"/>
  <c r="D83" i="7"/>
  <c r="M83" i="7" s="1"/>
  <c r="D43" i="7"/>
  <c r="M43" i="7" s="1"/>
  <c r="D102" i="7"/>
  <c r="M102" i="7" s="1"/>
  <c r="D124" i="7"/>
  <c r="M124" i="7" s="1"/>
  <c r="D92" i="7"/>
  <c r="D37" i="7"/>
  <c r="D34" i="7"/>
  <c r="M34" i="7" s="1"/>
  <c r="D141" i="7"/>
  <c r="M141" i="7" s="1"/>
  <c r="D85" i="7"/>
  <c r="D50" i="7"/>
  <c r="M50" i="7" s="1"/>
  <c r="D88" i="7"/>
  <c r="M88" i="7" s="1"/>
  <c r="D134" i="7"/>
  <c r="D107" i="7"/>
  <c r="M107" i="7" s="1"/>
  <c r="D65" i="7"/>
  <c r="M65" i="7" s="1"/>
  <c r="D24" i="7"/>
  <c r="M24" i="7" s="1"/>
  <c r="D120" i="7"/>
  <c r="M120" i="7" s="1"/>
  <c r="D67" i="7"/>
  <c r="D25" i="7"/>
  <c r="M25" i="7" s="1"/>
  <c r="D145" i="7"/>
  <c r="M145" i="7" s="1"/>
  <c r="D114" i="7"/>
  <c r="D73" i="7"/>
  <c r="D33" i="7"/>
  <c r="M33" i="7" s="1"/>
  <c r="D60" i="7"/>
  <c r="M60" i="7" s="1"/>
  <c r="D47" i="7"/>
  <c r="D116" i="7"/>
  <c r="M116" i="7" s="1"/>
  <c r="D55" i="7"/>
  <c r="M55" i="7" s="1"/>
  <c r="D117" i="7"/>
  <c r="D84" i="7"/>
  <c r="D15" i="7"/>
  <c r="M15" i="7" s="1"/>
  <c r="D104" i="7"/>
  <c r="D35" i="7"/>
  <c r="M35" i="7" s="1"/>
  <c r="D99" i="7"/>
  <c r="D17" i="7"/>
  <c r="M17" i="7" s="1"/>
  <c r="D79" i="7"/>
  <c r="M79" i="7" s="1"/>
  <c r="D69" i="7"/>
  <c r="M69" i="7" s="1"/>
  <c r="D146" i="7"/>
  <c r="D123" i="7"/>
  <c r="M123" i="7" s="1"/>
  <c r="D96" i="7"/>
  <c r="M96" i="7" s="1"/>
  <c r="D75" i="7"/>
  <c r="M75" i="7" s="1"/>
  <c r="D41" i="7"/>
  <c r="M41" i="7" s="1"/>
  <c r="D130" i="7"/>
  <c r="D70" i="7"/>
  <c r="M70" i="7" s="1"/>
  <c r="D36" i="7"/>
  <c r="M36" i="7" s="1"/>
  <c r="D81" i="7"/>
  <c r="D118" i="7"/>
  <c r="D77" i="7"/>
  <c r="D21" i="7"/>
  <c r="M21" i="7" s="1"/>
  <c r="D125" i="7"/>
  <c r="D78" i="7"/>
  <c r="D44" i="7"/>
  <c r="M44" i="7" s="1"/>
  <c r="D150" i="7"/>
  <c r="M150" i="7" s="1"/>
  <c r="D127" i="7"/>
  <c r="D106" i="7"/>
  <c r="D58" i="7"/>
  <c r="M58" i="7" s="1"/>
  <c r="D18" i="7"/>
  <c r="M18" i="7" s="1"/>
  <c r="D100" i="7"/>
  <c r="D53" i="7"/>
  <c r="M53" i="7" s="1"/>
  <c r="D20" i="7"/>
  <c r="M20" i="7" s="1"/>
  <c r="D137" i="7"/>
  <c r="M137" i="7" s="1"/>
  <c r="D101" i="7"/>
  <c r="M101" i="7" s="1"/>
  <c r="D61" i="7"/>
  <c r="M61" i="7" s="1"/>
  <c r="D27" i="7"/>
  <c r="M27" i="7" s="1"/>
  <c r="D42" i="7"/>
  <c r="M42" i="7" s="1"/>
  <c r="D153" i="7"/>
  <c r="D140" i="7"/>
  <c r="M140" i="7" s="1"/>
  <c r="D111" i="7"/>
  <c r="M111" i="7" s="1"/>
  <c r="D91" i="7"/>
  <c r="D49" i="7"/>
  <c r="D82" i="7"/>
  <c r="M82" i="7" s="1"/>
  <c r="D155" i="7"/>
  <c r="D133" i="7"/>
  <c r="M133" i="7" s="1"/>
  <c r="D98" i="7"/>
  <c r="D57" i="7"/>
  <c r="M57" i="7" s="1"/>
  <c r="D30" i="7"/>
  <c r="M30" i="7" s="1"/>
  <c r="D151" i="7"/>
  <c r="D135" i="7"/>
  <c r="D119" i="7"/>
  <c r="D93" i="7"/>
  <c r="D59" i="7"/>
  <c r="M59" i="7" s="1"/>
  <c r="D31" i="7"/>
  <c r="D136" i="7"/>
  <c r="D94" i="7"/>
  <c r="M94" i="7" s="1"/>
  <c r="D66" i="7"/>
  <c r="D32" i="7"/>
  <c r="D54" i="7"/>
  <c r="M54" i="7" s="1"/>
  <c r="D129" i="7"/>
  <c r="D108" i="7"/>
  <c r="M108" i="7" s="1"/>
  <c r="D74" i="7"/>
  <c r="D46" i="7"/>
  <c r="M46" i="7" s="1"/>
  <c r="M73" i="7"/>
  <c r="M95" i="7"/>
  <c r="M122" i="7"/>
  <c r="M77" i="7"/>
  <c r="M127" i="7"/>
  <c r="F153" i="7"/>
  <c r="M63" i="7"/>
  <c r="M71" i="7"/>
  <c r="M100" i="7"/>
  <c r="M51" i="7"/>
  <c r="M28" i="7"/>
  <c r="F154" i="7"/>
  <c r="M37" i="7"/>
  <c r="M45" i="7"/>
  <c r="M87" i="7"/>
  <c r="F155" i="7"/>
  <c r="M106" i="7"/>
  <c r="F151" i="7"/>
  <c r="M74" i="7"/>
  <c r="F152" i="7"/>
  <c r="M29" i="7"/>
  <c r="M16" i="7"/>
  <c r="M12" i="7"/>
  <c r="M104" i="7" l="1"/>
  <c r="M119" i="7"/>
  <c r="M92" i="7"/>
  <c r="M132" i="7"/>
  <c r="M81" i="7"/>
  <c r="M128" i="7"/>
  <c r="M112" i="7"/>
  <c r="M26" i="7"/>
  <c r="M23" i="7"/>
  <c r="M66" i="7"/>
  <c r="M91" i="7"/>
  <c r="M117" i="7"/>
  <c r="M135" i="7"/>
  <c r="M105" i="7"/>
  <c r="M78" i="7"/>
  <c r="M142" i="7"/>
  <c r="M48" i="7"/>
  <c r="M52" i="7"/>
  <c r="M67" i="7"/>
  <c r="M86" i="7"/>
  <c r="M152" i="7"/>
  <c r="M84" i="7"/>
  <c r="M118" i="7"/>
  <c r="M19" i="7"/>
  <c r="M130" i="7"/>
  <c r="M85" i="7"/>
  <c r="M99" i="7"/>
  <c r="M136" i="7"/>
  <c r="M129" i="7"/>
  <c r="M93" i="7"/>
  <c r="M125" i="7"/>
  <c r="M114" i="7"/>
  <c r="M47" i="7"/>
  <c r="M146" i="7"/>
  <c r="M31" i="7"/>
  <c r="M98" i="7"/>
  <c r="M56" i="7"/>
  <c r="M134" i="7"/>
  <c r="M113" i="7"/>
  <c r="M154" i="7"/>
  <c r="M32" i="7"/>
  <c r="M49" i="7"/>
  <c r="M151" i="7"/>
  <c r="M153" i="7"/>
  <c r="M155" i="7"/>
  <c r="M156" i="7" l="1"/>
  <c r="M158" i="7" s="1"/>
  <c r="M160" i="7" s="1"/>
</calcChain>
</file>

<file path=xl/sharedStrings.xml><?xml version="1.0" encoding="utf-8"?>
<sst xmlns="http://schemas.openxmlformats.org/spreadsheetml/2006/main" count="1194" uniqueCount="484">
  <si>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</si>
  <si>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</si>
  <si>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</si>
  <si>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</si>
  <si>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</si>
  <si>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</si>
  <si>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</si>
  <si>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</si>
  <si>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</si>
  <si>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</si>
  <si>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</si>
  <si>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</si>
  <si>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</si>
  <si>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</si>
  <si>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</si>
  <si>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</si>
  <si>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</si>
  <si>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</si>
  <si>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</si>
  <si>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</si>
  <si>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</si>
  <si>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</si>
  <si>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</si>
  <si>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</si>
  <si>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</si>
  <si>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</si>
  <si>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</si>
  <si>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</si>
  <si>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</si>
  <si>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</si>
  <si>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</si>
  <si>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</si>
  <si>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</si>
  <si>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</si>
  <si>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</si>
  <si>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</si>
  <si>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</si>
  <si>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</si>
  <si>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</si>
  <si>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</si>
  <si>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</si>
  <si>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</si>
  <si>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</si>
  <si>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</si>
  <si>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</si>
  <si>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</si>
  <si>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</si>
  <si>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</si>
  <si>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</si>
  <si>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</si>
  <si>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</si>
  <si>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</si>
  <si>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</si>
  <si>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</si>
  <si>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</si>
  <si>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</si>
  <si>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</si>
  <si>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</si>
  <si>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</si>
  <si>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</si>
  <si>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</si>
  <si>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</si>
  <si>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</si>
  <si>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</si>
  <si>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</si>
  <si>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</si>
  <si>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</si>
  <si>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</si>
  <si>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</si>
  <si>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</si>
  <si>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</si>
  <si>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</si>
  <si>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</si>
  <si>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</si>
  <si>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</si>
  <si>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</si>
  <si>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</si>
  <si>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</si>
  <si>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</si>
  <si>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</si>
  <si>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</si>
  <si>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</si>
  <si>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</si>
  <si>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</si>
  <si>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</si>
  <si>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</si>
  <si>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</si>
  <si>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</si>
  <si>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</si>
  <si>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</si>
  <si>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</si>
  <si>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</si>
  <si>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</si>
  <si>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</si>
  <si>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</si>
  <si>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</si>
  <si>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</si>
  <si>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</si>
  <si>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</si>
  <si>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</si>
  <si>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</si>
  <si>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</si>
  <si>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</si>
  <si>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</si>
  <si>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</si>
  <si>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</si>
  <si>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</si>
  <si>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</si>
  <si>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</si>
  <si>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</si>
  <si>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</si>
  <si>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</si>
  <si>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</si>
  <si>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</si>
  <si>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</si>
  <si>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</si>
  <si>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</si>
  <si>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</si>
  <si>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</si>
  <si>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</si>
  <si>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</si>
  <si>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</si>
  <si>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</si>
  <si>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</si>
  <si>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</si>
  <si>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</si>
  <si>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</si>
  <si>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</si>
  <si>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</si>
  <si>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</si>
  <si>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</si>
  <si>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</si>
  <si>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</si>
  <si>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</si>
  <si>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</si>
  <si>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</si>
  <si>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</si>
  <si>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</si>
  <si>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</si>
  <si>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</si>
  <si>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</si>
  <si>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</si>
  <si>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</si>
  <si>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</si>
  <si>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</si>
  <si>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</si>
  <si>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</si>
  <si>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</si>
  <si>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</si>
  <si>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</si>
  <si>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</si>
  <si>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</si>
  <si>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</si>
  <si>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</si>
  <si>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</si>
  <si>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</si>
  <si>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</si>
  <si>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</si>
  <si>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</si>
  <si>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</si>
  <si>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</si>
  <si>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</si>
  <si>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</si>
  <si>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</si>
  <si>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</si>
  <si>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</si>
  <si>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</si>
  <si>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</si>
  <si>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</si>
  <si>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</si>
  <si>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</si>
  <si>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</si>
  <si>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</si>
  <si>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</si>
  <si>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</si>
  <si>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</si>
  <si>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</si>
  <si>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</si>
  <si>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</si>
  <si>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</si>
  <si>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</si>
  <si>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</si>
  <si>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</si>
  <si>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</si>
  <si>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</si>
  <si>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</si>
  <si>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</si>
  <si>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</si>
  <si>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</si>
  <si>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</si>
  <si>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</si>
  <si>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</si>
  <si>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</si>
  <si>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</si>
  <si>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</si>
  <si>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</si>
  <si>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</si>
  <si>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</si>
  <si>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</si>
  <si>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</si>
  <si>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</si>
  <si>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</si>
  <si>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</si>
  <si>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</si>
  <si>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</si>
  <si>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</si>
  <si>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</si>
  <si>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</si>
  <si>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</si>
  <si>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</si>
  <si>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</si>
  <si>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</si>
  <si>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</si>
  <si>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</si>
  <si>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</si>
  <si>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</si>
  <si>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</si>
  <si>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</si>
  <si>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</si>
  <si>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</si>
  <si>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</si>
  <si>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</si>
  <si>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</si>
  <si>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</si>
  <si>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</si>
  <si>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</si>
  <si>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</si>
  <si>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</si>
  <si>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</si>
  <si>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</si>
  <si>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</si>
  <si>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</si>
  <si>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</si>
  <si>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</si>
  <si>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</si>
  <si>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</si>
  <si>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</si>
  <si>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</si>
  <si>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</si>
  <si>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</si>
  <si>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CUSTO FINAL DA MOBILIZAÇÃO E DESMOBILIZAÇÃO - SEM DESONERAÇÃO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</si>
  <si>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</si>
  <si>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</si>
  <si>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</si>
  <si>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</si>
  <si>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</si>
  <si>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</si>
  <si>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</si>
  <si>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</si>
  <si>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</si>
  <si>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</si>
  <si>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</si>
  <si>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</si>
  <si>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</si>
  <si>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</si>
  <si>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</si>
  <si>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</si>
  <si>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</si>
  <si>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</si>
  <si>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</si>
  <si>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</si>
  <si>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</si>
  <si>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</si>
  <si>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</si>
  <si>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</si>
  <si>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</si>
  <si>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</si>
  <si>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</si>
  <si>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</si>
  <si>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</si>
  <si>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</si>
  <si>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</si>
  <si>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</si>
  <si>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</si>
  <si>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</si>
  <si>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</si>
  <si>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</si>
  <si>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</si>
  <si>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</si>
  <si>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</si>
  <si>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</si>
  <si>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</si>
  <si>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</si>
  <si>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</si>
  <si>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</si>
  <si>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</si>
  <si>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</si>
  <si>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</si>
  <si>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</si>
  <si>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</si>
  <si>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</si>
  <si>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</si>
  <si>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</si>
  <si>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</si>
  <si>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</si>
  <si>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</si>
  <si>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</si>
  <si>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</si>
  <si>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</si>
  <si>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</si>
  <si>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</si>
  <si>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</si>
  <si>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</si>
  <si>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</si>
  <si>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</si>
  <si>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</si>
  <si>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</si>
  <si>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</si>
  <si>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</si>
  <si>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</si>
  <si>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</si>
  <si>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</si>
  <si>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</si>
  <si>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</si>
  <si>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</si>
  <si>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</si>
  <si>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</si>
  <si>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</si>
  <si>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</si>
  <si>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</si>
  <si>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</si>
  <si>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</si>
  <si>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</si>
  <si>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</si>
  <si>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</si>
  <si>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</si>
  <si>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</si>
  <si>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</si>
  <si>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</si>
  <si>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</si>
  <si>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</si>
  <si>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</si>
  <si>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</si>
  <si>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</si>
  <si>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</si>
  <si>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</si>
  <si>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</si>
  <si>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</si>
  <si>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</si>
  <si>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</si>
  <si>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</si>
  <si>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</si>
  <si>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</si>
  <si>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</si>
  <si>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</si>
  <si>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</si>
  <si>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</si>
  <si>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</si>
  <si>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</si>
  <si>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</si>
  <si>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</si>
  <si>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</si>
  <si>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</si>
  <si>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</si>
  <si>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</si>
  <si>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FINAL DA MOBILIZAÇÃO E DESMOBILIZAÇÃO - PESSOAL</t>
  </si>
  <si>
    <t>Semirreboque com 2 eixos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</si>
  <si>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</si>
  <si>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</si>
  <si>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</si>
  <si>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</si>
  <si>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</si>
  <si>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</si>
  <si>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</si>
  <si>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</si>
  <si>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</si>
  <si>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</si>
  <si>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</si>
  <si>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</si>
  <si>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</si>
  <si>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</si>
  <si>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</si>
  <si>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</si>
  <si>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</si>
  <si>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</si>
  <si>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</si>
  <si>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</si>
  <si>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</si>
  <si>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</si>
  <si>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</si>
  <si>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</si>
  <si>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</si>
  <si>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</si>
  <si>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</si>
  <si>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</si>
  <si>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</si>
  <si>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</si>
  <si>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</si>
  <si>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</si>
  <si>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</si>
  <si>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</si>
  <si>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</si>
  <si>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</si>
  <si>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</si>
  <si>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</si>
  <si>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</si>
  <si>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Classificador de madeira</t>
  </si>
  <si>
    <t>Engenheiro Auxiliar</t>
  </si>
  <si>
    <t>Técnico de Campo I</t>
  </si>
  <si>
    <t>Técnico de Campo III</t>
  </si>
  <si>
    <t xml:space="preserve">TRECHO - 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</si>
  <si>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</si>
  <si>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</si>
  <si>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</si>
  <si>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</si>
  <si>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</si>
  <si>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</si>
  <si>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</si>
  <si>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</si>
  <si>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</si>
  <si>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</si>
  <si>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</si>
  <si>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</si>
  <si>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</si>
  <si>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</si>
  <si>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</si>
  <si>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</si>
  <si>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</si>
  <si>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</si>
  <si>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</si>
  <si>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</si>
  <si>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</si>
  <si>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</si>
  <si>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</si>
  <si>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</si>
  <si>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</si>
  <si>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</si>
  <si>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</si>
  <si>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</si>
  <si>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</si>
  <si>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</si>
  <si>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</si>
  <si>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</si>
  <si>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</si>
  <si>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</si>
  <si>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</si>
  <si>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</si>
  <si>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</si>
  <si>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</si>
  <si>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</si>
  <si>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</si>
  <si>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</si>
  <si>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Engenheiro em Meio Ambiente</t>
  </si>
  <si>
    <t>MO026</t>
  </si>
  <si>
    <t>MO027</t>
  </si>
  <si>
    <t>MO028</t>
  </si>
  <si>
    <t>C/BDI</t>
  </si>
  <si>
    <t>TOTAIS</t>
  </si>
  <si>
    <t>ADM LOCAL</t>
  </si>
  <si>
    <t>SERVIÇOS OBRA</t>
  </si>
  <si>
    <t>GERAL</t>
  </si>
  <si>
    <t>CAPACIDADE</t>
  </si>
  <si>
    <t>Caminhão silo 30m³</t>
  </si>
  <si>
    <t>Cam. bascul. 1635/45 14m3 média</t>
  </si>
  <si>
    <t xml:space="preserve">Fresadora asfalto a frio W 100 HR </t>
  </si>
  <si>
    <t>1 operador da pesada + 1 servente</t>
  </si>
  <si>
    <t>1 operador de nível V + 2 serventes</t>
  </si>
  <si>
    <t>1 operador da pesada + 4 serventes</t>
  </si>
  <si>
    <t>1 operador da pesada + 2 serventes</t>
  </si>
  <si>
    <t>Perfuratriz hidráulica rotopercussiva - 123 kW</t>
  </si>
  <si>
    <t>Perfuratriz hidráulica sobre esteiras com clamshell - 220 kW</t>
  </si>
  <si>
    <t>Guindaste móvel sobre esteiras com capacidade de 40 t - 186 kW</t>
  </si>
  <si>
    <t>EQ003</t>
  </si>
  <si>
    <t>EQ_AX05</t>
  </si>
  <si>
    <t>EQ_AX06</t>
  </si>
  <si>
    <t>Semirreboque com 4 eixos</t>
  </si>
  <si>
    <t>EQ_AX07</t>
  </si>
  <si>
    <t>Dolly intermediário com 2 eixos para semirreboque</t>
  </si>
  <si>
    <t>Perfuratriz hidráulica sobre esteiras - 283 kW</t>
  </si>
  <si>
    <t>Bate estaca de gravidade para 6 t - 119 kW</t>
  </si>
  <si>
    <t>Data Base: 31/08/2025 (Sem desoneração)</t>
  </si>
  <si>
    <t>DER/PR - Agosto/2025 (sem desoneração)</t>
  </si>
  <si>
    <t xml:space="preserve"> Veículo(s) com capacidade de 16 passageiros</t>
  </si>
  <si>
    <t xml:space="preserve"> Veículo(s) com capacidade de 30 passageiros</t>
  </si>
  <si>
    <t xml:space="preserve"> Veículo(s) com capacidade de 40 passageiros</t>
  </si>
  <si>
    <r>
      <t>=&gt;</t>
    </r>
    <r>
      <rPr>
        <b/>
        <sz val="11"/>
        <color rgb="FF000000"/>
        <rFont val="Arial"/>
        <family val="2"/>
      </rPr>
      <t>75%</t>
    </r>
    <r>
      <rPr>
        <sz val="11"/>
        <color rgb="FF000000"/>
        <rFont val="Arial"/>
        <family val="2"/>
        <charset val="1"/>
      </rPr>
      <t xml:space="preserve"> do total de colaboradores </t>
    </r>
    <r>
      <rPr>
        <u/>
        <sz val="11"/>
        <color rgb="FF000000"/>
        <rFont val="Arial"/>
        <family val="2"/>
      </rPr>
      <t>SERVIÇOS OBRA</t>
    </r>
  </si>
  <si>
    <t>Cavalo mecânico com semirreboque com capacidade de 20 t - 276 kW</t>
  </si>
  <si>
    <t>Cavalo mecânico 4 x 2, PBT 16.000 kg - 276 kW - motorista de veículo especial</t>
  </si>
  <si>
    <t>Cavalo mecânico com semirreboque com capacidade de 32 t - 302 kW</t>
  </si>
  <si>
    <t>Cavalo mecânico estradeiro 6 x 2, PBT 23.000 kg - 302 kW - motorista de caminhão</t>
  </si>
  <si>
    <t>Cavalo mecânico com dolly intermediário e semirreboque de 4 eixos com capacidade de 52 t - 364 kW</t>
  </si>
  <si>
    <t>Cavalo mecânico estradeiro 6 x 4, PBT 23.000 kg - 364 kW - motorista de veículo especial</t>
  </si>
  <si>
    <t>Cam. bascul. 1635/45 14m3 média (323514)</t>
  </si>
  <si>
    <t>Caminhão transp. material asfáltico (300110)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</si>
</sst>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&quot;R$&quot;\ #,##0.00"/>
    <numFmt numFmtId="170" formatCode="&quot;R$&quot;\ #,##0.000;[Red]\-&quot;R$&quot;\ #,##0.000"/>
    <numFmt numFmtId="171" formatCode="#0.00"/>
    <numFmt numFmtId="172" formatCode="##0.00"/>
    <numFmt numFmtId="173" formatCode="000000"/>
    <numFmt numFmtId="174" formatCode="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u/>
      <sz val="11"/>
      <color rgb="FF00000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10000"/>
      </left>
      <right style="thin">
        <color rgb="FF010000"/>
      </right>
      <top/>
      <bottom style="thin">
        <color rgb="FF01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7" fillId="0" borderId="24" xfId="4" applyFont="1" applyBorder="1" applyAlignment="1">
      <alignment horizontal="center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69" fontId="0" fillId="0" borderId="24" xfId="0" applyNumberFormat="1" applyBorder="1" applyAlignment="1">
      <alignment horizontal="center"/>
    </xf>
    <xf numFmtId="169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0" fontId="17" fillId="0" borderId="0" xfId="0" applyFont="1"/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0" fontId="28" fillId="12" borderId="29" xfId="5" applyFont="1" applyFill="1" applyBorder="1" applyAlignment="1">
      <alignment horizontal="center" vertical="center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0" fontId="21" fillId="0" borderId="0" xfId="5" applyFont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166" fontId="21" fillId="17" borderId="34" xfId="5" applyNumberFormat="1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2" fontId="42" fillId="15" borderId="24" xfId="5" applyNumberFormat="1" applyFont="1" applyFill="1" applyBorder="1" applyAlignment="1">
      <alignment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40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1" fontId="13" fillId="0" borderId="41" xfId="0" applyNumberFormat="1" applyFont="1" applyBorder="1" applyAlignment="1">
      <alignment horizontal="center" vertical="center" shrinkToFit="1"/>
    </xf>
    <xf numFmtId="1" fontId="13" fillId="0" borderId="25" xfId="0" applyNumberFormat="1" applyFont="1" applyBorder="1" applyAlignment="1">
      <alignment horizontal="center" vertical="center" shrinkToFit="1"/>
    </xf>
    <xf numFmtId="173" fontId="43" fillId="16" borderId="24" xfId="0" applyNumberFormat="1" applyFont="1" applyFill="1" applyBorder="1" applyAlignment="1">
      <alignment horizontal="center" vertical="top" wrapText="1"/>
    </xf>
    <xf numFmtId="0" fontId="43" fillId="16" borderId="24" xfId="0" applyFont="1" applyFill="1" applyBorder="1" applyAlignment="1">
      <alignment vertical="top" wrapText="1"/>
    </xf>
    <xf numFmtId="171" fontId="43" fillId="16" borderId="24" xfId="0" applyNumberFormat="1" applyFont="1" applyFill="1" applyBorder="1" applyAlignment="1">
      <alignment horizontal="right" vertical="top" wrapText="1"/>
    </xf>
    <xf numFmtId="172" fontId="43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10" fontId="44" fillId="9" borderId="0" xfId="6" applyNumberFormat="1" applyFont="1" applyFill="1" applyAlignment="1">
      <alignment horizontal="center" vertical="center"/>
    </xf>
    <xf numFmtId="10" fontId="26" fillId="12" borderId="33" xfId="5" applyNumberFormat="1" applyFont="1" applyFill="1" applyBorder="1" applyAlignment="1">
      <alignment horizontal="center" vertical="center"/>
    </xf>
    <xf numFmtId="173" fontId="43" fillId="16" borderId="24" xfId="0" applyNumberFormat="1" applyFont="1" applyFill="1" applyBorder="1" applyAlignment="1">
      <alignment horizontal="center" vertical="center" wrapText="1"/>
    </xf>
    <xf numFmtId="0" fontId="13" fillId="17" borderId="24" xfId="2" applyFont="1" applyFill="1" applyBorder="1" applyAlignment="1">
      <alignment horizontal="justify" wrapText="1"/>
    </xf>
    <xf numFmtId="167" fontId="27" fillId="18" borderId="34" xfId="5" applyNumberFormat="1" applyFont="1" applyFill="1" applyBorder="1" applyAlignment="1">
      <alignment horizontal="center" vertical="center" wrapText="1"/>
    </xf>
    <xf numFmtId="0" fontId="16" fillId="9" borderId="0" xfId="5" applyFont="1" applyFill="1" applyAlignment="1">
      <alignment horizontal="center" vertical="center"/>
    </xf>
    <xf numFmtId="0" fontId="17" fillId="0" borderId="29" xfId="4" applyFont="1" applyBorder="1" applyAlignment="1">
      <alignment horizontal="center"/>
    </xf>
    <xf numFmtId="167" fontId="27" fillId="13" borderId="42" xfId="5" applyNumberFormat="1" applyFont="1" applyFill="1" applyBorder="1" applyAlignment="1">
      <alignment horizontal="center" vertical="center" wrapText="1"/>
    </xf>
    <xf numFmtId="2" fontId="21" fillId="0" borderId="42" xfId="5" applyNumberFormat="1" applyFont="1" applyBorder="1" applyAlignment="1">
      <alignment horizontal="center" vertical="center"/>
    </xf>
    <xf numFmtId="0" fontId="21" fillId="0" borderId="42" xfId="5" applyFont="1" applyBorder="1" applyAlignment="1">
      <alignment horizontal="center" vertical="center"/>
    </xf>
    <xf numFmtId="9" fontId="21" fillId="0" borderId="42" xfId="6" applyFont="1" applyBorder="1" applyAlignment="1">
      <alignment horizontal="center" vertical="center"/>
    </xf>
    <xf numFmtId="0" fontId="35" fillId="0" borderId="42" xfId="5" applyFont="1" applyBorder="1" applyAlignment="1">
      <alignment horizontal="center" vertical="center"/>
    </xf>
    <xf numFmtId="4" fontId="21" fillId="0" borderId="42" xfId="5" applyNumberFormat="1" applyFont="1" applyBorder="1" applyAlignment="1">
      <alignment horizontal="center" vertical="center"/>
    </xf>
    <xf numFmtId="168" fontId="21" fillId="0" borderId="42" xfId="5" applyNumberFormat="1" applyFont="1" applyBorder="1" applyAlignment="1">
      <alignment vertical="center"/>
    </xf>
    <xf numFmtId="0" fontId="33" fillId="0" borderId="43" xfId="4" applyFont="1" applyBorder="1" applyAlignment="1">
      <alignment horizontal="center"/>
    </xf>
    <xf numFmtId="0" fontId="13" fillId="0" borderId="43" xfId="2" applyFont="1" applyBorder="1" applyAlignment="1">
      <alignment horizontal="justify" wrapText="1"/>
    </xf>
    <xf numFmtId="0" fontId="13" fillId="0" borderId="43" xfId="2" applyFont="1" applyBorder="1" applyAlignment="1">
      <alignment horizontal="center" wrapText="1"/>
    </xf>
    <xf numFmtId="167" fontId="27" fillId="13" borderId="44" xfId="5" applyNumberFormat="1" applyFont="1" applyFill="1" applyBorder="1" applyAlignment="1">
      <alignment horizontal="center" vertical="center" wrapText="1"/>
    </xf>
    <xf numFmtId="2" fontId="21" fillId="0" borderId="44" xfId="5" applyNumberFormat="1" applyFont="1" applyBorder="1" applyAlignment="1">
      <alignment horizontal="center" vertical="center"/>
    </xf>
    <xf numFmtId="0" fontId="21" fillId="0" borderId="44" xfId="5" applyFont="1" applyBorder="1" applyAlignment="1">
      <alignment horizontal="center" vertical="center"/>
    </xf>
    <xf numFmtId="9" fontId="21" fillId="0" borderId="44" xfId="6" applyFont="1" applyBorder="1" applyAlignment="1">
      <alignment horizontal="center" vertical="center"/>
    </xf>
    <xf numFmtId="0" fontId="35" fillId="0" borderId="44" xfId="5" applyFont="1" applyBorder="1" applyAlignment="1">
      <alignment horizontal="center" vertical="center"/>
    </xf>
    <xf numFmtId="4" fontId="21" fillId="0" borderId="44" xfId="5" applyNumberFormat="1" applyFont="1" applyBorder="1" applyAlignment="1">
      <alignment horizontal="center" vertical="center"/>
    </xf>
    <xf numFmtId="168" fontId="21" fillId="0" borderId="44" xfId="5" applyNumberFormat="1" applyFont="1" applyBorder="1" applyAlignment="1">
      <alignment vertical="center"/>
    </xf>
    <xf numFmtId="0" fontId="40" fillId="16" borderId="45" xfId="0" applyNumberFormat="1" applyFont="1" applyFill="1" applyBorder="1" applyAlignment="1">
      <alignment vertical="top" wrapText="1"/>
    </xf>
    <xf numFmtId="173" fontId="40" fillId="16" borderId="45" xfId="0" applyNumberFormat="1" applyFont="1" applyFill="1" applyBorder="1" applyAlignment="1">
      <alignment horizontal="center" vertical="top" wrapText="1"/>
    </xf>
    <xf numFmtId="0" fontId="46" fillId="0" borderId="0" xfId="0" applyNumberFormat="1" applyFont="1" applyFill="1" applyBorder="1" applyAlignment="1">
      <alignment vertical="top"/>
    </xf>
    <xf numFmtId="0" fontId="46" fillId="0" borderId="0" xfId="0" applyNumberFormat="1" applyFont="1" applyFill="1" applyBorder="1" applyAlignment="1">
      <alignment vertical="center"/>
    </xf>
    <xf numFmtId="0" fontId="17" fillId="19" borderId="0" xfId="0" applyFont="1" applyFill="1" applyAlignment="1">
      <alignment horizontal="center" vertical="center"/>
    </xf>
    <xf numFmtId="0" fontId="17" fillId="19" borderId="0" xfId="0" applyFont="1" applyFill="1" applyAlignment="1">
      <alignment horizontal="left" vertical="center"/>
    </xf>
    <xf numFmtId="8" fontId="17" fillId="19" borderId="0" xfId="0" applyNumberFormat="1" applyFont="1" applyFill="1" applyAlignment="1">
      <alignment horizontal="center" vertical="center"/>
    </xf>
    <xf numFmtId="2" fontId="17" fillId="19" borderId="0" xfId="0" applyNumberFormat="1" applyFont="1" applyFill="1" applyAlignment="1">
      <alignment horizontal="center" vertical="center"/>
    </xf>
    <xf numFmtId="0" fontId="17" fillId="17" borderId="0" xfId="0" applyFont="1" applyFill="1" applyAlignment="1">
      <alignment horizontal="center" vertical="center"/>
    </xf>
    <xf numFmtId="0" fontId="17" fillId="17" borderId="0" xfId="0" applyFont="1" applyFill="1" applyAlignment="1">
      <alignment horizontal="left" vertical="center"/>
    </xf>
    <xf numFmtId="2" fontId="17" fillId="17" borderId="0" xfId="0" applyNumberFormat="1" applyFont="1" applyFill="1" applyAlignment="1">
      <alignment horizontal="center" vertical="center"/>
    </xf>
    <xf numFmtId="8" fontId="17" fillId="17" borderId="0" xfId="0" applyNumberFormat="1" applyFont="1" applyFill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0" fillId="16" borderId="45" xfId="0" applyNumberFormat="1" applyFont="1" applyFill="1" applyBorder="1" applyAlignment="1">
      <alignment vertical="center" wrapText="1"/>
    </xf>
    <xf numFmtId="0" fontId="12" fillId="0" borderId="0" xfId="3" applyFont="1" applyBorder="1" applyAlignment="1">
      <alignment horizontal="left" vertical="center" wrapText="1"/>
    </xf>
    <xf numFmtId="8" fontId="48" fillId="0" borderId="0" xfId="0" applyNumberFormat="1" applyFont="1" applyAlignment="1">
      <alignment vertical="top" wrapText="1"/>
    </xf>
    <xf numFmtId="0" fontId="33" fillId="0" borderId="0" xfId="0" applyFont="1" applyAlignment="1">
      <alignment vertical="center"/>
    </xf>
    <xf numFmtId="10" fontId="33" fillId="0" borderId="0" xfId="6" applyNumberFormat="1" applyFont="1" applyAlignment="1">
      <alignment horizontal="center" vertical="center"/>
    </xf>
    <xf numFmtId="170" fontId="33" fillId="0" borderId="0" xfId="6" applyNumberFormat="1" applyFont="1" applyAlignment="1">
      <alignment horizontal="center" vertical="center"/>
    </xf>
    <xf numFmtId="2" fontId="48" fillId="16" borderId="45" xfId="0" applyNumberFormat="1" applyFont="1" applyFill="1" applyBorder="1" applyAlignment="1">
      <alignment vertical="top" wrapText="1"/>
    </xf>
    <xf numFmtId="2" fontId="48" fillId="16" borderId="45" xfId="0" applyNumberFormat="1" applyFont="1" applyFill="1" applyBorder="1" applyAlignment="1">
      <alignment horizontal="right" vertical="top" wrapText="1"/>
    </xf>
    <xf numFmtId="172" fontId="48" fillId="16" borderId="45" xfId="0" applyNumberFormat="1" applyFont="1" applyFill="1" applyBorder="1" applyAlignment="1">
      <alignment vertical="top" wrapText="1"/>
    </xf>
    <xf numFmtId="171" fontId="48" fillId="16" borderId="45" xfId="0" applyNumberFormat="1" applyFont="1" applyFill="1" applyBorder="1" applyAlignment="1">
      <alignment horizontal="right" vertical="top" wrapText="1"/>
    </xf>
    <xf numFmtId="171" fontId="48" fillId="16" borderId="45" xfId="0" applyNumberFormat="1" applyFont="1" applyFill="1" applyBorder="1" applyAlignment="1">
      <alignment vertical="top" wrapText="1"/>
    </xf>
    <xf numFmtId="174" fontId="21" fillId="0" borderId="0" xfId="5" applyNumberFormat="1" applyFont="1" applyAlignment="1">
      <alignment horizontal="center" vertical="center"/>
    </xf>
    <xf numFmtId="0" fontId="21" fillId="0" borderId="0" xfId="5" quotePrefix="1" applyFont="1" applyAlignment="1">
      <alignment horizontal="right" vertical="center"/>
    </xf>
    <xf numFmtId="10" fontId="21" fillId="0" borderId="0" xfId="5" applyNumberFormat="1" applyFont="1" applyAlignment="1">
      <alignment vertical="center"/>
    </xf>
    <xf numFmtId="4" fontId="21" fillId="0" borderId="0" xfId="5" applyNumberFormat="1" applyFont="1" applyAlignment="1">
      <alignment vertical="center"/>
    </xf>
    <xf numFmtId="4" fontId="16" fillId="0" borderId="0" xfId="5" applyNumberFormat="1" applyFont="1" applyAlignment="1">
      <alignment vertical="center"/>
    </xf>
    <xf numFmtId="0" fontId="48" fillId="0" borderId="0" xfId="0" applyFont="1" applyAlignment="1">
      <alignment horizontal="left" vertical="top"/>
    </xf>
    <xf numFmtId="8" fontId="48" fillId="0" borderId="0" xfId="0" applyNumberFormat="1" applyFont="1" applyAlignment="1">
      <alignment horizontal="center" vertical="top" wrapText="1"/>
    </xf>
    <xf numFmtId="8" fontId="48" fillId="0" borderId="0" xfId="0" applyNumberFormat="1" applyFont="1" applyAlignment="1">
      <alignment horizontal="center" vertical="center" wrapText="1"/>
    </xf>
    <xf numFmtId="0" fontId="49" fillId="0" borderId="0" xfId="0" applyFont="1"/>
    <xf numFmtId="2" fontId="11" fillId="19" borderId="27" xfId="3" applyNumberFormat="1" applyFont="1" applyFill="1" applyBorder="1" applyAlignment="1">
      <alignment horizontal="center" vertical="center" shrinkToFit="1"/>
    </xf>
    <xf numFmtId="2" fontId="11" fillId="15" borderId="27" xfId="3" applyNumberFormat="1" applyFont="1" applyFill="1" applyBorder="1" applyAlignment="1">
      <alignment horizontal="center" vertical="center" shrinkToFit="1"/>
    </xf>
    <xf numFmtId="0" fontId="17" fillId="20" borderId="0" xfId="0" applyFont="1" applyFill="1" applyAlignment="1">
      <alignment vertical="center"/>
    </xf>
    <xf numFmtId="173" fontId="40" fillId="16" borderId="45" xfId="0" applyNumberFormat="1" applyFont="1" applyFill="1" applyBorder="1" applyAlignment="1">
      <alignment vertical="top" wrapText="1"/>
    </xf>
    <xf numFmtId="173" fontId="40" fillId="16" borderId="45" xfId="0" applyNumberFormat="1" applyFont="1" applyFill="1" applyBorder="1" applyAlignment="1">
      <alignment vertical="center" wrapText="1"/>
    </xf>
    <xf numFmtId="2" fontId="50" fillId="16" borderId="45" xfId="0" applyNumberFormat="1" applyFont="1" applyFill="1" applyBorder="1" applyAlignment="1">
      <alignment horizontal="right" vertical="top" wrapText="1"/>
    </xf>
    <xf numFmtId="172" fontId="50" fillId="16" borderId="45" xfId="0" applyNumberFormat="1" applyFont="1" applyFill="1" applyBorder="1" applyAlignment="1">
      <alignment horizontal="right" vertical="top" wrapText="1"/>
    </xf>
    <xf numFmtId="171" fontId="50" fillId="16" borderId="45" xfId="0" applyNumberFormat="1" applyFont="1" applyFill="1" applyBorder="1" applyAlignment="1">
      <alignment horizontal="right" vertical="top" wrapText="1"/>
    </xf>
    <xf numFmtId="4" fontId="50" fillId="16" borderId="45" xfId="0" applyNumberFormat="1" applyFont="1" applyFill="1" applyBorder="1" applyAlignment="1">
      <alignment horizontal="right" vertical="top" wrapText="1"/>
    </xf>
    <xf numFmtId="8" fontId="12" fillId="0" borderId="24" xfId="0" applyNumberFormat="1" applyFont="1" applyBorder="1" applyAlignment="1">
      <alignment vertical="center"/>
    </xf>
    <xf numFmtId="172" fontId="50" fillId="16" borderId="47" xfId="0" applyNumberFormat="1" applyFont="1" applyFill="1" applyBorder="1" applyAlignment="1">
      <alignment horizontal="right" vertical="top" wrapText="1"/>
    </xf>
    <xf numFmtId="8" fontId="15" fillId="0" borderId="24" xfId="0" applyNumberFormat="1" applyFont="1" applyBorder="1" applyAlignment="1">
      <alignment vertical="center"/>
    </xf>
    <xf numFmtId="1" fontId="13" fillId="0" borderId="30" xfId="0" applyNumberFormat="1" applyFont="1" applyBorder="1" applyAlignment="1">
      <alignment horizontal="center" vertical="center" shrinkToFit="1"/>
    </xf>
    <xf numFmtId="0" fontId="15" fillId="0" borderId="40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2" fontId="11" fillId="0" borderId="36" xfId="3" applyNumberFormat="1" applyFont="1" applyBorder="1" applyAlignment="1">
      <alignment horizontal="center" vertical="center" shrinkToFit="1"/>
    </xf>
    <xf numFmtId="2" fontId="11" fillId="0" borderId="46" xfId="3" applyNumberFormat="1" applyFont="1" applyBorder="1" applyAlignment="1">
      <alignment horizontal="center" vertical="center" shrinkToFit="1"/>
    </xf>
    <xf numFmtId="2" fontId="11" fillId="0" borderId="41" xfId="3" applyNumberFormat="1" applyFont="1" applyBorder="1" applyAlignment="1">
      <alignment horizontal="center" vertical="center" shrinkToFit="1"/>
    </xf>
    <xf numFmtId="1" fontId="11" fillId="0" borderId="36" xfId="3" applyNumberFormat="1" applyFont="1" applyBorder="1" applyAlignment="1">
      <alignment horizontal="center" vertical="center" shrinkToFit="1"/>
    </xf>
    <xf numFmtId="1" fontId="11" fillId="0" borderId="46" xfId="3" applyNumberFormat="1" applyFont="1" applyBorder="1" applyAlignment="1">
      <alignment horizontal="center" vertical="center" shrinkToFit="1"/>
    </xf>
    <xf numFmtId="1" fontId="11" fillId="0" borderId="41" xfId="3" applyNumberFormat="1" applyFont="1" applyBorder="1" applyAlignment="1">
      <alignment horizontal="center" vertical="center" shrinkToFi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  <xf numFmtId="0" fontId="24" fillId="12" borderId="31" xfId="5" applyFont="1" applyFill="1" applyBorder="1" applyAlignment="1">
      <alignment horizontal="center" vertical="center"/>
    </xf>
    <xf numFmtId="0" fontId="24" fillId="12" borderId="32" xfId="5" applyFont="1" applyFill="1" applyBorder="1" applyAlignment="1">
      <alignment horizontal="center" vertical="center"/>
    </xf>
    <xf numFmtId="0" fontId="24" fillId="12" borderId="33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37" xfId="5" applyFont="1" applyFill="1" applyBorder="1" applyAlignment="1">
      <alignment horizontal="center" vertical="center"/>
    </xf>
    <xf numFmtId="0" fontId="28" fillId="12" borderId="38" xfId="5" applyFont="1" applyFill="1" applyBorder="1" applyAlignment="1">
      <alignment horizontal="center" vertical="center"/>
    </xf>
    <xf numFmtId="0" fontId="28" fillId="12" borderId="3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31" xfId="5" applyFont="1" applyBorder="1" applyAlignment="1">
      <alignment horizontal="center" vertical="center"/>
    </xf>
    <xf numFmtId="0" fontId="25" fillId="0" borderId="32" xfId="5" applyFont="1" applyBorder="1" applyAlignment="1">
      <alignment horizontal="center" vertical="center"/>
    </xf>
    <xf numFmtId="0" fontId="25" fillId="0" borderId="33" xfId="5" applyFont="1" applyBorder="1" applyAlignment="1">
      <alignment horizontal="center" vertical="center"/>
    </xf>
    <xf numFmtId="0" fontId="29" fillId="12" borderId="31" xfId="5" applyFont="1" applyFill="1" applyBorder="1" applyAlignment="1">
      <alignment horizontal="center" vertical="center"/>
    </xf>
    <xf numFmtId="0" fontId="29" fillId="12" borderId="32" xfId="5" applyFont="1" applyFill="1" applyBorder="1" applyAlignment="1">
      <alignment horizontal="center" vertical="center"/>
    </xf>
    <xf numFmtId="0" fontId="29" fillId="12" borderId="33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6" fillId="12" borderId="31" xfId="5" applyFont="1" applyFill="1" applyBorder="1" applyAlignment="1">
      <alignment horizontal="center" vertical="center"/>
    </xf>
    <xf numFmtId="0" fontId="26" fillId="12" borderId="32" xfId="5" applyFont="1" applyFill="1" applyBorder="1" applyAlignment="1">
      <alignment horizontal="center" vertical="center"/>
    </xf>
    <xf numFmtId="0" fontId="26" fillId="12" borderId="33" xfId="5" applyFont="1" applyFill="1" applyBorder="1" applyAlignment="1">
      <alignment horizontal="center" vertical="center"/>
    </xf>
    <xf numFmtId="0" fontId="24" fillId="12" borderId="24" xfId="5" applyFont="1" applyFill="1" applyBorder="1" applyAlignment="1">
      <alignment horizontal="center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  <xf numFmtId="0" fontId="29" fillId="12" borderId="24" xfId="5" applyFont="1" applyFill="1" applyBorder="1" applyAlignment="1">
      <alignment horizontal="center" vertic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3 3" xfId="5" xr:uid="{00000000-0005-0000-0000-000005000000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29</xdr:row>
          <xdr:rowOff>0</xdr:rowOff>
        </xdr:from>
        <xdr:to>
          <xdr:col>10</xdr:col>
          <xdr:colOff>428625</xdr:colOff>
          <xdr:row>31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34</xdr:row>
          <xdr:rowOff>0</xdr:rowOff>
        </xdr:from>
        <xdr:to>
          <xdr:col>9</xdr:col>
          <xdr:colOff>95250</xdr:colOff>
          <xdr:row>37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39</xdr:row>
          <xdr:rowOff>142875</xdr:rowOff>
        </xdr:from>
        <xdr:to>
          <xdr:col>8</xdr:col>
          <xdr:colOff>457200</xdr:colOff>
          <xdr:row>40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29</xdr:row>
          <xdr:rowOff>161925</xdr:rowOff>
        </xdr:from>
        <xdr:to>
          <xdr:col>15</xdr:col>
          <xdr:colOff>57150</xdr:colOff>
          <xdr:row>30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35</xdr:row>
          <xdr:rowOff>0</xdr:rowOff>
        </xdr:from>
        <xdr:to>
          <xdr:col>14</xdr:col>
          <xdr:colOff>104775</xdr:colOff>
          <xdr:row>36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ane%20M.%20Koerich\Documents\Pessoal\Trabalho\Beta\Contratos\OAE_Engenharia\Passarelas%20Gen%20Carneiro%20PR\Or&#231;amento\4a_vers&#227;o\Servicos_prelimina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g-dt-cco/@Custos%20e%20Or&#231;amentos/Super.Reg.Leste/PR-092%20Min&#233;rios%20Lote%2003/Arquivos%20atualizados%2023-01-25/ADM%20LOCAL_CANTEIRO_MOB_DESMOB_OUTUBRO_2024_Modelos/MD_Equip_MO_DER_PR_Com_Desonera&#231;&#227;o_out_2024_766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T"/>
      <sheetName val="DER-PR_FU"/>
      <sheetName val="Transporte - FU"/>
      <sheetName val="CHP"/>
      <sheetName val="MD_EQ"/>
      <sheetName val="MO"/>
      <sheetName val="MD_MO"/>
    </sheetNames>
    <sheetDataSet>
      <sheetData sheetId="0"/>
      <sheetData sheetId="1"/>
      <sheetData sheetId="2"/>
      <sheetData sheetId="3">
        <row r="212">
          <cell r="B212" t="str">
            <v>Cavalo mecânico com semirreboque com capacidade de 30 t - 265 kW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workbookViewId="0">
      <selection activeCell="J13" sqref="J13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230" t="s">
        <v>27</v>
      </c>
      <c r="C2" s="231"/>
      <c r="D2" s="231"/>
      <c r="E2" s="231"/>
      <c r="F2" s="232"/>
    </row>
    <row r="3" spans="2:8" ht="15.75" thickBot="1" x14ac:dyDescent="0.3">
      <c r="B3" s="226" t="s">
        <v>17</v>
      </c>
      <c r="C3" s="224" t="s">
        <v>3</v>
      </c>
      <c r="D3" s="226" t="s">
        <v>1</v>
      </c>
      <c r="E3" s="228" t="s">
        <v>25</v>
      </c>
      <c r="F3" s="229"/>
    </row>
    <row r="4" spans="2:8" ht="15.75" thickBot="1" x14ac:dyDescent="0.3">
      <c r="B4" s="227"/>
      <c r="C4" s="225"/>
      <c r="D4" s="227"/>
      <c r="E4" s="27" t="s">
        <v>29</v>
      </c>
      <c r="F4" s="28" t="s">
        <v>28</v>
      </c>
    </row>
    <row r="5" spans="2:8" x14ac:dyDescent="0.25">
      <c r="B5" s="221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222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223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221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222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222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221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222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222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221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222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223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221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222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222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250</v>
      </c>
      <c r="E27" s="8">
        <f>E12</f>
        <v>315.33</v>
      </c>
      <c r="F27" s="8">
        <v>0</v>
      </c>
    </row>
    <row r="28" spans="2:7" x14ac:dyDescent="0.25">
      <c r="B28" t="s">
        <v>251</v>
      </c>
      <c r="E28" s="8">
        <f>E16</f>
        <v>352.73</v>
      </c>
      <c r="F28" s="8">
        <v>0</v>
      </c>
    </row>
    <row r="29" spans="2:7" x14ac:dyDescent="0.25">
      <c r="B29" t="s">
        <v>243</v>
      </c>
      <c r="E29" s="8">
        <f>E20</f>
        <v>521.5</v>
      </c>
      <c r="F29" s="8">
        <f>F20</f>
        <v>31.5</v>
      </c>
    </row>
    <row r="30" spans="2:7" x14ac:dyDescent="0.25">
      <c r="B30" t="s">
        <v>252</v>
      </c>
      <c r="E30" s="8">
        <f>E24</f>
        <v>506</v>
      </c>
      <c r="F30" s="8">
        <v>0</v>
      </c>
    </row>
  </sheetData>
  <mergeCells count="10">
    <mergeCell ref="C3:C4"/>
    <mergeCell ref="D3:D4"/>
    <mergeCell ref="B3:B4"/>
    <mergeCell ref="E3:F3"/>
    <mergeCell ref="B2:F2"/>
    <mergeCell ref="B21:B23"/>
    <mergeCell ref="B5:B7"/>
    <mergeCell ref="B9:B11"/>
    <mergeCell ref="B13:B15"/>
    <mergeCell ref="B17:B19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0"/>
  <sheetViews>
    <sheetView topLeftCell="A81" zoomScale="110" zoomScaleNormal="110" workbookViewId="0">
      <selection activeCell="C107" sqref="C107"/>
    </sheetView>
  </sheetViews>
  <sheetFormatPr defaultColWidth="9.140625"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33" t="str">
        <f>CHP!G13</f>
        <v>Cavalo mecânico com semirreboque com capacidade de 20 t - 276 kW</v>
      </c>
      <c r="D2" s="58">
        <v>0.5</v>
      </c>
      <c r="E2" s="59">
        <f t="shared" ref="E2:E66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34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34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34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34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34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34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34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34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394</v>
      </c>
      <c r="C11" s="234"/>
      <c r="D11" s="58">
        <v>1</v>
      </c>
      <c r="E11" s="59">
        <v>2</v>
      </c>
    </row>
    <row r="12" spans="1:5" ht="12.75" customHeight="1" x14ac:dyDescent="0.25">
      <c r="A12" s="56">
        <v>300510</v>
      </c>
      <c r="B12" s="57" t="s">
        <v>45</v>
      </c>
      <c r="C12" s="234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34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34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34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34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34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34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34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34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34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34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34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34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34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34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34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34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34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34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34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34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34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34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34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34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34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34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34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34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34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34"/>
      <c r="D42" s="58">
        <v>1</v>
      </c>
      <c r="E42" s="59">
        <f t="shared" si="0"/>
        <v>2</v>
      </c>
    </row>
    <row r="43" spans="1:5" ht="12.75" customHeight="1" x14ac:dyDescent="0.25">
      <c r="A43" s="56">
        <v>325125</v>
      </c>
      <c r="B43" s="57" t="s">
        <v>76</v>
      </c>
      <c r="C43" s="234"/>
      <c r="D43" s="58">
        <v>1</v>
      </c>
      <c r="E43" s="59">
        <f t="shared" si="0"/>
        <v>2</v>
      </c>
    </row>
    <row r="44" spans="1:5" ht="12.75" customHeight="1" x14ac:dyDescent="0.25">
      <c r="A44" s="56">
        <v>323104</v>
      </c>
      <c r="B44" s="120" t="s">
        <v>395</v>
      </c>
      <c r="C44" s="234"/>
      <c r="D44" s="58">
        <v>1</v>
      </c>
      <c r="E44" s="59">
        <v>2</v>
      </c>
    </row>
    <row r="45" spans="1:5" ht="12.75" customHeight="1" x14ac:dyDescent="0.25">
      <c r="A45" s="56">
        <v>325020</v>
      </c>
      <c r="B45" s="57" t="s">
        <v>77</v>
      </c>
      <c r="C45" s="234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34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34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34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34"/>
      <c r="D49" s="58">
        <v>1</v>
      </c>
      <c r="E49" s="59">
        <f t="shared" si="0"/>
        <v>2</v>
      </c>
    </row>
    <row r="50" spans="1:5" ht="12.75" customHeight="1" x14ac:dyDescent="0.25">
      <c r="A50" s="56">
        <v>312520</v>
      </c>
      <c r="B50" s="57" t="s">
        <v>83</v>
      </c>
      <c r="C50" s="234"/>
      <c r="D50" s="58">
        <v>0.5</v>
      </c>
      <c r="E50" s="59">
        <f t="shared" si="0"/>
        <v>2</v>
      </c>
    </row>
    <row r="51" spans="1:5" ht="12.75" customHeight="1" x14ac:dyDescent="0.25">
      <c r="A51" s="56">
        <v>322520</v>
      </c>
      <c r="B51" s="57" t="s">
        <v>84</v>
      </c>
      <c r="C51" s="234"/>
      <c r="D51" s="58">
        <v>0.5</v>
      </c>
      <c r="E51" s="59">
        <f t="shared" si="0"/>
        <v>2</v>
      </c>
    </row>
    <row r="52" spans="1:5" ht="12.75" customHeight="1" x14ac:dyDescent="0.25">
      <c r="A52" s="56">
        <v>332520</v>
      </c>
      <c r="B52" s="57" t="s">
        <v>85</v>
      </c>
      <c r="C52" s="234"/>
      <c r="D52" s="58">
        <v>0.5</v>
      </c>
      <c r="E52" s="59">
        <f t="shared" si="0"/>
        <v>2</v>
      </c>
    </row>
    <row r="53" spans="1:5" ht="12.75" customHeight="1" x14ac:dyDescent="0.25">
      <c r="A53" s="56">
        <v>340140</v>
      </c>
      <c r="B53" s="57" t="s">
        <v>86</v>
      </c>
      <c r="C53" s="234"/>
      <c r="D53" s="58">
        <v>1</v>
      </c>
      <c r="E53" s="59">
        <f t="shared" si="0"/>
        <v>2</v>
      </c>
    </row>
    <row r="54" spans="1:5" ht="12.75" customHeight="1" x14ac:dyDescent="0.25">
      <c r="A54" s="56">
        <v>340150</v>
      </c>
      <c r="B54" s="57" t="s">
        <v>87</v>
      </c>
      <c r="C54" s="234"/>
      <c r="D54" s="58">
        <v>0.5</v>
      </c>
      <c r="E54" s="59">
        <f t="shared" si="0"/>
        <v>2</v>
      </c>
    </row>
    <row r="55" spans="1:5" ht="12.75" customHeight="1" x14ac:dyDescent="0.25">
      <c r="A55" s="56">
        <v>345500</v>
      </c>
      <c r="B55" s="57" t="s">
        <v>88</v>
      </c>
      <c r="C55" s="234"/>
      <c r="D55" s="58">
        <v>1</v>
      </c>
      <c r="E55" s="59">
        <f t="shared" si="0"/>
        <v>2</v>
      </c>
    </row>
    <row r="56" spans="1:5" ht="12.75" customHeight="1" x14ac:dyDescent="0.25">
      <c r="A56" s="56">
        <v>340210</v>
      </c>
      <c r="B56" s="57" t="s">
        <v>89</v>
      </c>
      <c r="C56" s="234"/>
      <c r="D56" s="58">
        <v>1</v>
      </c>
      <c r="E56" s="59">
        <f t="shared" si="0"/>
        <v>2</v>
      </c>
    </row>
    <row r="57" spans="1:5" ht="12.75" customHeight="1" x14ac:dyDescent="0.25">
      <c r="A57" s="56">
        <v>340270</v>
      </c>
      <c r="B57" s="57" t="s">
        <v>90</v>
      </c>
      <c r="C57" s="234"/>
      <c r="D57" s="58">
        <v>1</v>
      </c>
      <c r="E57" s="59">
        <f t="shared" si="0"/>
        <v>2</v>
      </c>
    </row>
    <row r="58" spans="1:5" ht="12.75" customHeight="1" x14ac:dyDescent="0.25">
      <c r="A58" s="56">
        <v>340110</v>
      </c>
      <c r="B58" s="57" t="s">
        <v>91</v>
      </c>
      <c r="C58" s="234"/>
      <c r="D58" s="58">
        <v>0.5</v>
      </c>
      <c r="E58" s="59">
        <f>IF(A58=C58,1,2)</f>
        <v>2</v>
      </c>
    </row>
    <row r="59" spans="1:5" ht="12.75" customHeight="1" x14ac:dyDescent="0.25">
      <c r="A59" s="56">
        <v>340620</v>
      </c>
      <c r="B59" s="57" t="s">
        <v>92</v>
      </c>
      <c r="C59" s="234"/>
      <c r="D59" s="58">
        <v>0.5</v>
      </c>
      <c r="E59" s="59">
        <f t="shared" si="0"/>
        <v>2</v>
      </c>
    </row>
    <row r="60" spans="1:5" ht="12.75" customHeight="1" x14ac:dyDescent="0.25">
      <c r="A60" s="56">
        <v>342220</v>
      </c>
      <c r="B60" s="57" t="s">
        <v>93</v>
      </c>
      <c r="C60" s="234"/>
      <c r="D60" s="58">
        <v>0.5</v>
      </c>
      <c r="E60" s="59">
        <f t="shared" si="0"/>
        <v>2</v>
      </c>
    </row>
    <row r="61" spans="1:5" ht="12.75" customHeight="1" x14ac:dyDescent="0.25">
      <c r="A61" s="56">
        <v>340100</v>
      </c>
      <c r="B61" s="57" t="s">
        <v>94</v>
      </c>
      <c r="C61" s="234"/>
      <c r="D61" s="58">
        <v>0.5</v>
      </c>
      <c r="E61" s="59">
        <f t="shared" si="0"/>
        <v>2</v>
      </c>
    </row>
    <row r="62" spans="1:5" ht="12.75" customHeight="1" x14ac:dyDescent="0.25">
      <c r="A62" s="56">
        <v>341840</v>
      </c>
      <c r="B62" s="57" t="s">
        <v>95</v>
      </c>
      <c r="C62" s="234"/>
      <c r="D62" s="58">
        <v>0.5</v>
      </c>
      <c r="E62" s="59">
        <f t="shared" si="0"/>
        <v>2</v>
      </c>
    </row>
    <row r="63" spans="1:5" ht="12.75" customHeight="1" x14ac:dyDescent="0.25">
      <c r="A63" s="56">
        <v>340250</v>
      </c>
      <c r="B63" s="57" t="s">
        <v>96</v>
      </c>
      <c r="C63" s="234"/>
      <c r="D63" s="58">
        <v>0.5</v>
      </c>
      <c r="E63" s="59">
        <f t="shared" si="0"/>
        <v>2</v>
      </c>
    </row>
    <row r="64" spans="1:5" ht="12.75" customHeight="1" x14ac:dyDescent="0.25">
      <c r="A64" s="56">
        <v>341150</v>
      </c>
      <c r="B64" s="57" t="s">
        <v>97</v>
      </c>
      <c r="C64" s="234"/>
      <c r="D64" s="58">
        <v>0.5</v>
      </c>
      <c r="E64" s="59">
        <f t="shared" si="0"/>
        <v>2</v>
      </c>
    </row>
    <row r="65" spans="1:5" ht="12.75" customHeight="1" x14ac:dyDescent="0.25">
      <c r="A65" s="56">
        <v>341680</v>
      </c>
      <c r="B65" s="57" t="s">
        <v>98</v>
      </c>
      <c r="C65" s="234"/>
      <c r="D65" s="58">
        <v>0.5</v>
      </c>
      <c r="E65" s="59">
        <f t="shared" si="0"/>
        <v>2</v>
      </c>
    </row>
    <row r="66" spans="1:5" ht="12.75" customHeight="1" x14ac:dyDescent="0.25">
      <c r="A66" s="56">
        <v>340840</v>
      </c>
      <c r="B66" s="57" t="s">
        <v>99</v>
      </c>
      <c r="C66" s="234"/>
      <c r="D66" s="58">
        <v>0.5</v>
      </c>
      <c r="E66" s="59">
        <f t="shared" si="0"/>
        <v>2</v>
      </c>
    </row>
    <row r="67" spans="1:5" ht="12.75" customHeight="1" x14ac:dyDescent="0.25">
      <c r="A67" s="56">
        <v>300220</v>
      </c>
      <c r="B67" s="57" t="s">
        <v>100</v>
      </c>
      <c r="C67" s="234"/>
      <c r="D67" s="58">
        <v>1</v>
      </c>
      <c r="E67" s="59">
        <f t="shared" ref="E67:E101" si="1">IF(A67=C67,1,2)</f>
        <v>2</v>
      </c>
    </row>
    <row r="68" spans="1:5" ht="12.75" customHeight="1" x14ac:dyDescent="0.25">
      <c r="A68" s="56">
        <v>300100</v>
      </c>
      <c r="B68" s="57" t="s">
        <v>101</v>
      </c>
      <c r="C68" s="234"/>
      <c r="D68" s="58">
        <v>1</v>
      </c>
      <c r="E68" s="59">
        <f t="shared" si="1"/>
        <v>2</v>
      </c>
    </row>
    <row r="69" spans="1:5" ht="12.75" customHeight="1" x14ac:dyDescent="0.25">
      <c r="A69" s="56">
        <v>300200</v>
      </c>
      <c r="B69" s="57" t="s">
        <v>102</v>
      </c>
      <c r="C69" s="234"/>
      <c r="D69" s="58">
        <v>1</v>
      </c>
      <c r="E69" s="59">
        <f t="shared" si="1"/>
        <v>2</v>
      </c>
    </row>
    <row r="70" spans="1:5" ht="12.75" customHeight="1" x14ac:dyDescent="0.25">
      <c r="A70" s="56">
        <v>300210</v>
      </c>
      <c r="B70" s="57" t="s">
        <v>103</v>
      </c>
      <c r="C70" s="234"/>
      <c r="D70" s="58">
        <v>1</v>
      </c>
      <c r="E70" s="59">
        <f t="shared" si="1"/>
        <v>2</v>
      </c>
    </row>
    <row r="71" spans="1:5" ht="12.75" customHeight="1" x14ac:dyDescent="0.25">
      <c r="A71" s="56">
        <v>341000</v>
      </c>
      <c r="B71" s="57" t="s">
        <v>104</v>
      </c>
      <c r="C71" s="234"/>
      <c r="D71" s="58">
        <v>0.5</v>
      </c>
      <c r="E71" s="59">
        <f t="shared" si="1"/>
        <v>2</v>
      </c>
    </row>
    <row r="72" spans="1:5" ht="12.75" customHeight="1" x14ac:dyDescent="0.25">
      <c r="A72" s="56">
        <v>341100</v>
      </c>
      <c r="B72" s="57" t="s">
        <v>105</v>
      </c>
      <c r="C72" s="234"/>
      <c r="D72" s="58">
        <v>0.5</v>
      </c>
      <c r="E72" s="59">
        <f t="shared" si="1"/>
        <v>2</v>
      </c>
    </row>
    <row r="73" spans="1:5" ht="12.75" customHeight="1" x14ac:dyDescent="0.25">
      <c r="A73" s="56">
        <v>341500</v>
      </c>
      <c r="B73" s="57" t="s">
        <v>106</v>
      </c>
      <c r="C73" s="234"/>
      <c r="D73" s="58">
        <v>0.5</v>
      </c>
      <c r="E73" s="59">
        <f t="shared" si="1"/>
        <v>2</v>
      </c>
    </row>
    <row r="74" spans="1:5" ht="12.75" customHeight="1" x14ac:dyDescent="0.25">
      <c r="A74" s="56">
        <v>310650</v>
      </c>
      <c r="B74" s="57" t="s">
        <v>107</v>
      </c>
      <c r="C74" s="234"/>
      <c r="D74" s="58">
        <v>1</v>
      </c>
      <c r="E74" s="59">
        <f t="shared" si="1"/>
        <v>2</v>
      </c>
    </row>
    <row r="75" spans="1:5" ht="12.75" customHeight="1" x14ac:dyDescent="0.25">
      <c r="A75" s="56">
        <v>320650</v>
      </c>
      <c r="B75" s="57" t="s">
        <v>108</v>
      </c>
      <c r="C75" s="234"/>
      <c r="D75" s="58">
        <v>1</v>
      </c>
      <c r="E75" s="59">
        <f t="shared" si="1"/>
        <v>2</v>
      </c>
    </row>
    <row r="76" spans="1:5" ht="12.75" customHeight="1" x14ac:dyDescent="0.25">
      <c r="A76" s="56">
        <v>330650</v>
      </c>
      <c r="B76" s="57" t="s">
        <v>109</v>
      </c>
      <c r="C76" s="234"/>
      <c r="D76" s="58">
        <v>1</v>
      </c>
      <c r="E76" s="59">
        <f t="shared" si="1"/>
        <v>2</v>
      </c>
    </row>
    <row r="77" spans="1:5" ht="12.75" customHeight="1" x14ac:dyDescent="0.25">
      <c r="A77" s="56">
        <v>310080</v>
      </c>
      <c r="B77" s="57" t="s">
        <v>110</v>
      </c>
      <c r="C77" s="234"/>
      <c r="D77" s="58">
        <v>1</v>
      </c>
      <c r="E77" s="59">
        <f t="shared" si="1"/>
        <v>2</v>
      </c>
    </row>
    <row r="78" spans="1:5" ht="12.75" customHeight="1" x14ac:dyDescent="0.25">
      <c r="A78" s="56">
        <v>320080</v>
      </c>
      <c r="B78" s="57" t="s">
        <v>111</v>
      </c>
      <c r="C78" s="234"/>
      <c r="D78" s="58">
        <v>1</v>
      </c>
      <c r="E78" s="59">
        <f t="shared" si="1"/>
        <v>2</v>
      </c>
    </row>
    <row r="79" spans="1:5" ht="12.75" customHeight="1" x14ac:dyDescent="0.25">
      <c r="A79" s="56">
        <v>330080</v>
      </c>
      <c r="B79" s="57" t="s">
        <v>112</v>
      </c>
      <c r="C79" s="234"/>
      <c r="D79" s="58">
        <v>1</v>
      </c>
      <c r="E79" s="59">
        <f t="shared" si="1"/>
        <v>2</v>
      </c>
    </row>
    <row r="80" spans="1:5" ht="12.75" customHeight="1" x14ac:dyDescent="0.25">
      <c r="A80" s="56">
        <v>320700</v>
      </c>
      <c r="B80" s="57" t="s">
        <v>113</v>
      </c>
      <c r="C80" s="234"/>
      <c r="D80" s="58">
        <v>0.5</v>
      </c>
      <c r="E80" s="59">
        <f t="shared" si="1"/>
        <v>2</v>
      </c>
    </row>
    <row r="81" spans="1:5" ht="12.75" customHeight="1" x14ac:dyDescent="0.25">
      <c r="A81" s="56">
        <v>320140</v>
      </c>
      <c r="B81" s="57" t="s">
        <v>114</v>
      </c>
      <c r="C81" s="234"/>
      <c r="D81" s="58">
        <v>1</v>
      </c>
      <c r="E81" s="59">
        <f t="shared" si="1"/>
        <v>2</v>
      </c>
    </row>
    <row r="82" spans="1:5" ht="12.75" customHeight="1" x14ac:dyDescent="0.25">
      <c r="A82" s="56">
        <v>311650</v>
      </c>
      <c r="B82" s="57" t="s">
        <v>115</v>
      </c>
      <c r="C82" s="234"/>
      <c r="D82" s="58">
        <v>0.5</v>
      </c>
      <c r="E82" s="59">
        <f t="shared" si="1"/>
        <v>2</v>
      </c>
    </row>
    <row r="83" spans="1:5" ht="12.75" customHeight="1" x14ac:dyDescent="0.25">
      <c r="A83" s="56">
        <v>321650</v>
      </c>
      <c r="B83" s="57" t="s">
        <v>116</v>
      </c>
      <c r="C83" s="234"/>
      <c r="D83" s="58">
        <v>0.5</v>
      </c>
      <c r="E83" s="59">
        <f t="shared" si="1"/>
        <v>2</v>
      </c>
    </row>
    <row r="84" spans="1:5" ht="12.75" customHeight="1" x14ac:dyDescent="0.25">
      <c r="A84" s="56">
        <v>331650</v>
      </c>
      <c r="B84" s="57" t="s">
        <v>117</v>
      </c>
      <c r="C84" s="234"/>
      <c r="D84" s="58">
        <v>0.5</v>
      </c>
      <c r="E84" s="59">
        <f t="shared" si="1"/>
        <v>2</v>
      </c>
    </row>
    <row r="85" spans="1:5" ht="12.75" customHeight="1" x14ac:dyDescent="0.25">
      <c r="A85" s="56">
        <v>310040</v>
      </c>
      <c r="B85" s="57" t="s">
        <v>118</v>
      </c>
      <c r="C85" s="234"/>
      <c r="D85" s="58">
        <v>0.5</v>
      </c>
      <c r="E85" s="59">
        <f t="shared" si="1"/>
        <v>2</v>
      </c>
    </row>
    <row r="86" spans="1:5" ht="12.75" customHeight="1" x14ac:dyDescent="0.25">
      <c r="A86" s="56">
        <v>320040</v>
      </c>
      <c r="B86" s="57" t="s">
        <v>119</v>
      </c>
      <c r="C86" s="234"/>
      <c r="D86" s="58">
        <v>0.5</v>
      </c>
      <c r="E86" s="59">
        <f t="shared" si="1"/>
        <v>2</v>
      </c>
    </row>
    <row r="87" spans="1:5" ht="12.75" customHeight="1" x14ac:dyDescent="0.25">
      <c r="A87" s="56">
        <v>330040</v>
      </c>
      <c r="B87" s="57" t="s">
        <v>120</v>
      </c>
      <c r="C87" s="234"/>
      <c r="D87" s="58">
        <v>0.5</v>
      </c>
      <c r="E87" s="59">
        <f t="shared" si="1"/>
        <v>2</v>
      </c>
    </row>
    <row r="88" spans="1:5" ht="12.75" customHeight="1" x14ac:dyDescent="0.25">
      <c r="A88" s="56">
        <v>310060</v>
      </c>
      <c r="B88" s="57" t="s">
        <v>121</v>
      </c>
      <c r="C88" s="234"/>
      <c r="D88" s="58">
        <v>0.5</v>
      </c>
      <c r="E88" s="59">
        <f t="shared" si="1"/>
        <v>2</v>
      </c>
    </row>
    <row r="89" spans="1:5" ht="12.75" customHeight="1" x14ac:dyDescent="0.25">
      <c r="A89" s="56">
        <v>320060</v>
      </c>
      <c r="B89" s="57" t="s">
        <v>122</v>
      </c>
      <c r="C89" s="234"/>
      <c r="D89" s="58">
        <v>0.5</v>
      </c>
      <c r="E89" s="59">
        <f t="shared" si="1"/>
        <v>2</v>
      </c>
    </row>
    <row r="90" spans="1:5" ht="12.75" customHeight="1" x14ac:dyDescent="0.25">
      <c r="A90" s="56">
        <v>330060</v>
      </c>
      <c r="B90" s="57" t="s">
        <v>123</v>
      </c>
      <c r="C90" s="234"/>
      <c r="D90" s="58">
        <v>0.5</v>
      </c>
      <c r="E90" s="59">
        <f t="shared" si="1"/>
        <v>2</v>
      </c>
    </row>
    <row r="91" spans="1:5" ht="12.75" customHeight="1" x14ac:dyDescent="0.25">
      <c r="A91" s="56">
        <v>310180</v>
      </c>
      <c r="B91" s="57" t="s">
        <v>124</v>
      </c>
      <c r="C91" s="234"/>
      <c r="D91" s="58">
        <v>1</v>
      </c>
      <c r="E91" s="59">
        <f t="shared" si="1"/>
        <v>2</v>
      </c>
    </row>
    <row r="92" spans="1:5" ht="12.75" customHeight="1" x14ac:dyDescent="0.25">
      <c r="A92" s="56">
        <v>320180</v>
      </c>
      <c r="B92" s="57" t="s">
        <v>125</v>
      </c>
      <c r="C92" s="234"/>
      <c r="D92" s="58">
        <v>1</v>
      </c>
      <c r="E92" s="59">
        <f t="shared" si="1"/>
        <v>2</v>
      </c>
    </row>
    <row r="93" spans="1:5" ht="12.75" customHeight="1" x14ac:dyDescent="0.25">
      <c r="A93" s="56">
        <v>330180</v>
      </c>
      <c r="B93" s="57" t="s">
        <v>126</v>
      </c>
      <c r="C93" s="234"/>
      <c r="D93" s="58">
        <v>1</v>
      </c>
      <c r="E93" s="59">
        <f t="shared" si="1"/>
        <v>2</v>
      </c>
    </row>
    <row r="94" spans="1:5" ht="12.75" customHeight="1" x14ac:dyDescent="0.25">
      <c r="A94" s="56">
        <v>309100</v>
      </c>
      <c r="B94" s="57" t="s">
        <v>127</v>
      </c>
      <c r="C94" s="234"/>
      <c r="D94" s="58">
        <v>4</v>
      </c>
      <c r="E94" s="59">
        <f t="shared" si="1"/>
        <v>2</v>
      </c>
    </row>
    <row r="95" spans="1:5" ht="12.75" customHeight="1" x14ac:dyDescent="0.25">
      <c r="A95" s="56">
        <v>309000</v>
      </c>
      <c r="B95" s="57" t="s">
        <v>128</v>
      </c>
      <c r="C95" s="234"/>
      <c r="D95" s="58">
        <v>1</v>
      </c>
      <c r="E95" s="59">
        <f t="shared" si="1"/>
        <v>2</v>
      </c>
    </row>
    <row r="96" spans="1:5" ht="12.75" customHeight="1" x14ac:dyDescent="0.25">
      <c r="A96" s="56">
        <v>303500</v>
      </c>
      <c r="B96" s="57" t="s">
        <v>129</v>
      </c>
      <c r="C96" s="234"/>
      <c r="D96" s="58">
        <v>2</v>
      </c>
      <c r="E96" s="59">
        <f t="shared" si="1"/>
        <v>2</v>
      </c>
    </row>
    <row r="97" spans="1:5" ht="12.75" customHeight="1" x14ac:dyDescent="0.25">
      <c r="A97" s="56">
        <v>303600</v>
      </c>
      <c r="B97" s="57" t="s">
        <v>130</v>
      </c>
      <c r="C97" s="234"/>
      <c r="D97" s="58">
        <v>2</v>
      </c>
      <c r="E97" s="59">
        <f t="shared" si="1"/>
        <v>2</v>
      </c>
    </row>
    <row r="98" spans="1:5" ht="12.75" customHeight="1" x14ac:dyDescent="0.25">
      <c r="A98" s="56">
        <v>340410</v>
      </c>
      <c r="B98" s="57" t="s">
        <v>131</v>
      </c>
      <c r="C98" s="234"/>
      <c r="D98" s="58">
        <v>0.5</v>
      </c>
      <c r="E98" s="59">
        <f t="shared" si="1"/>
        <v>2</v>
      </c>
    </row>
    <row r="99" spans="1:5" x14ac:dyDescent="0.25">
      <c r="A99" s="56">
        <v>370600</v>
      </c>
      <c r="B99" s="57" t="s">
        <v>132</v>
      </c>
      <c r="C99" s="234"/>
      <c r="D99" s="58">
        <v>0.33</v>
      </c>
      <c r="E99" s="59">
        <f t="shared" si="1"/>
        <v>2</v>
      </c>
    </row>
    <row r="100" spans="1:5" x14ac:dyDescent="0.25">
      <c r="A100" s="56">
        <v>344500</v>
      </c>
      <c r="B100" s="57" t="s">
        <v>133</v>
      </c>
      <c r="C100" s="234"/>
      <c r="D100" s="58">
        <v>0.33</v>
      </c>
      <c r="E100" s="59">
        <f t="shared" si="1"/>
        <v>2</v>
      </c>
    </row>
    <row r="101" spans="1:5" x14ac:dyDescent="0.25">
      <c r="A101" s="56">
        <v>300060</v>
      </c>
      <c r="B101" s="57" t="s">
        <v>134</v>
      </c>
      <c r="C101" s="235"/>
      <c r="D101" s="58">
        <v>1</v>
      </c>
      <c r="E101" s="59">
        <f t="shared" si="1"/>
        <v>2</v>
      </c>
    </row>
    <row r="102" spans="1:5" ht="76.5" x14ac:dyDescent="0.25">
      <c r="A102" s="56">
        <v>304000</v>
      </c>
      <c r="B102" s="57" t="s">
        <v>135</v>
      </c>
      <c r="C102" s="60" t="str">
        <f>CHP!G16</f>
        <v>Cavalo mecânico com semirreboque com capacidade de 32 t - 302 kW</v>
      </c>
      <c r="D102" s="61">
        <v>1</v>
      </c>
      <c r="E102" s="59">
        <f>IF(A102=C102,1,2)</f>
        <v>2</v>
      </c>
    </row>
    <row r="103" spans="1:5" ht="29.25" customHeight="1" x14ac:dyDescent="0.25">
      <c r="A103" s="56">
        <v>399798</v>
      </c>
      <c r="B103" s="57" t="s">
        <v>459</v>
      </c>
      <c r="C103" s="236" t="str">
        <f>CHP!G19</f>
        <v>Cavalo mecânico com dolly intermediário e semirreboque de 4 eixos com capacidade de 52 t - 364 kW</v>
      </c>
      <c r="D103" s="239">
        <v>1</v>
      </c>
      <c r="E103" s="242">
        <v>2</v>
      </c>
    </row>
    <row r="104" spans="1:5" ht="22.5" customHeight="1" x14ac:dyDescent="0.25">
      <c r="A104" s="56">
        <v>399516</v>
      </c>
      <c r="B104" s="57" t="s">
        <v>460</v>
      </c>
      <c r="C104" s="237"/>
      <c r="D104" s="240"/>
      <c r="E104" s="243"/>
    </row>
    <row r="105" spans="1:5" ht="22.5" customHeight="1" x14ac:dyDescent="0.25">
      <c r="A105" s="56">
        <v>399517</v>
      </c>
      <c r="B105" s="57" t="s">
        <v>460</v>
      </c>
      <c r="C105" s="237"/>
      <c r="D105" s="240"/>
      <c r="E105" s="243"/>
    </row>
    <row r="106" spans="1:5" ht="34.5" customHeight="1" x14ac:dyDescent="0.25">
      <c r="A106" s="56">
        <v>396920</v>
      </c>
      <c r="B106" s="57" t="s">
        <v>461</v>
      </c>
      <c r="C106" s="238"/>
      <c r="D106" s="241"/>
      <c r="E106" s="244"/>
    </row>
    <row r="107" spans="1:5" x14ac:dyDescent="0.25">
      <c r="A107" s="56">
        <v>304100</v>
      </c>
      <c r="B107" s="57" t="s">
        <v>137</v>
      </c>
      <c r="C107" s="62">
        <v>304100</v>
      </c>
      <c r="D107" s="61">
        <v>1</v>
      </c>
      <c r="E107" s="59">
        <f>IF(A107=C107,1,2)</f>
        <v>1</v>
      </c>
    </row>
    <row r="108" spans="1:5" x14ac:dyDescent="0.25">
      <c r="A108" s="56">
        <v>399502</v>
      </c>
      <c r="B108" s="57" t="s">
        <v>469</v>
      </c>
      <c r="C108" s="62">
        <v>346020</v>
      </c>
      <c r="D108" s="61">
        <v>1</v>
      </c>
      <c r="E108" s="59">
        <v>1</v>
      </c>
    </row>
    <row r="109" spans="1:5" x14ac:dyDescent="0.25">
      <c r="A109" s="56">
        <v>370020</v>
      </c>
      <c r="B109" s="57" t="s">
        <v>138</v>
      </c>
      <c r="C109" s="62">
        <v>370020</v>
      </c>
      <c r="D109" s="61">
        <v>1</v>
      </c>
      <c r="E109" s="59">
        <f t="shared" ref="E109:E160" si="2">IF(A109=C109,1,2)</f>
        <v>1</v>
      </c>
    </row>
    <row r="110" spans="1:5" x14ac:dyDescent="0.25">
      <c r="A110" s="56">
        <v>370030</v>
      </c>
      <c r="B110" s="57" t="s">
        <v>139</v>
      </c>
      <c r="C110" s="62">
        <v>370030</v>
      </c>
      <c r="D110" s="61">
        <v>1</v>
      </c>
      <c r="E110" s="59">
        <f t="shared" si="2"/>
        <v>1</v>
      </c>
    </row>
    <row r="111" spans="1:5" x14ac:dyDescent="0.25">
      <c r="A111" s="56">
        <v>370000</v>
      </c>
      <c r="B111" s="57" t="s">
        <v>140</v>
      </c>
      <c r="C111" s="62">
        <v>370000</v>
      </c>
      <c r="D111" s="61">
        <v>1</v>
      </c>
      <c r="E111" s="59">
        <f t="shared" si="2"/>
        <v>1</v>
      </c>
    </row>
    <row r="112" spans="1:5" x14ac:dyDescent="0.25">
      <c r="A112" s="56">
        <v>370110</v>
      </c>
      <c r="B112" s="57" t="s">
        <v>141</v>
      </c>
      <c r="C112" s="62">
        <v>370110</v>
      </c>
      <c r="D112" s="61">
        <v>1</v>
      </c>
      <c r="E112" s="59">
        <f t="shared" si="2"/>
        <v>1</v>
      </c>
    </row>
    <row r="113" spans="1:5" x14ac:dyDescent="0.25">
      <c r="A113" s="56">
        <v>370160</v>
      </c>
      <c r="B113" s="57" t="s">
        <v>142</v>
      </c>
      <c r="C113" s="62">
        <v>370160</v>
      </c>
      <c r="D113" s="61">
        <v>1</v>
      </c>
      <c r="E113" s="59">
        <f t="shared" si="2"/>
        <v>1</v>
      </c>
    </row>
    <row r="114" spans="1:5" x14ac:dyDescent="0.25">
      <c r="A114" s="56">
        <v>316060</v>
      </c>
      <c r="B114" s="57" t="s">
        <v>143</v>
      </c>
      <c r="C114" s="62">
        <v>316060</v>
      </c>
      <c r="D114" s="61">
        <v>1</v>
      </c>
      <c r="E114" s="59">
        <f t="shared" si="2"/>
        <v>1</v>
      </c>
    </row>
    <row r="115" spans="1:5" x14ac:dyDescent="0.25">
      <c r="A115" s="56">
        <v>313140</v>
      </c>
      <c r="B115" s="57" t="s">
        <v>144</v>
      </c>
      <c r="C115" s="62">
        <v>313140</v>
      </c>
      <c r="D115" s="61">
        <v>1</v>
      </c>
      <c r="E115" s="59">
        <f t="shared" si="2"/>
        <v>1</v>
      </c>
    </row>
    <row r="116" spans="1:5" x14ac:dyDescent="0.25">
      <c r="A116" s="56">
        <v>323140</v>
      </c>
      <c r="B116" s="57" t="s">
        <v>145</v>
      </c>
      <c r="C116" s="62">
        <v>323140</v>
      </c>
      <c r="D116" s="61">
        <v>1</v>
      </c>
      <c r="E116" s="59">
        <f t="shared" si="2"/>
        <v>1</v>
      </c>
    </row>
    <row r="117" spans="1:5" x14ac:dyDescent="0.25">
      <c r="A117" s="56">
        <v>333140</v>
      </c>
      <c r="B117" s="57" t="s">
        <v>146</v>
      </c>
      <c r="C117" s="62">
        <v>333140</v>
      </c>
      <c r="D117" s="61">
        <v>1</v>
      </c>
      <c r="E117" s="59">
        <f t="shared" si="2"/>
        <v>1</v>
      </c>
    </row>
    <row r="118" spans="1:5" x14ac:dyDescent="0.25">
      <c r="A118" s="56">
        <v>300110</v>
      </c>
      <c r="B118" s="57" t="s">
        <v>147</v>
      </c>
      <c r="C118" s="62">
        <v>300110</v>
      </c>
      <c r="D118" s="61">
        <v>1</v>
      </c>
      <c r="E118" s="59">
        <f t="shared" si="2"/>
        <v>1</v>
      </c>
    </row>
    <row r="119" spans="1:5" x14ac:dyDescent="0.25">
      <c r="A119" s="56">
        <v>370060</v>
      </c>
      <c r="B119" s="57" t="s">
        <v>148</v>
      </c>
      <c r="C119" s="62">
        <v>370060</v>
      </c>
      <c r="D119" s="61">
        <v>1</v>
      </c>
      <c r="E119" s="59">
        <f t="shared" si="2"/>
        <v>1</v>
      </c>
    </row>
    <row r="120" spans="1:5" x14ac:dyDescent="0.25">
      <c r="A120" s="56">
        <v>370070</v>
      </c>
      <c r="B120" s="57" t="s">
        <v>149</v>
      </c>
      <c r="C120" s="62">
        <v>370070</v>
      </c>
      <c r="D120" s="61">
        <v>1</v>
      </c>
      <c r="E120" s="59">
        <f t="shared" si="2"/>
        <v>1</v>
      </c>
    </row>
    <row r="121" spans="1:5" x14ac:dyDescent="0.25">
      <c r="A121" s="56">
        <v>370080</v>
      </c>
      <c r="B121" s="57" t="s">
        <v>150</v>
      </c>
      <c r="C121" s="62">
        <v>370080</v>
      </c>
      <c r="D121" s="61">
        <v>1</v>
      </c>
      <c r="E121" s="59">
        <f t="shared" si="2"/>
        <v>1</v>
      </c>
    </row>
    <row r="122" spans="1:5" x14ac:dyDescent="0.25">
      <c r="A122" s="56">
        <v>306000</v>
      </c>
      <c r="B122" s="57" t="s">
        <v>151</v>
      </c>
      <c r="C122" s="62">
        <v>306000</v>
      </c>
      <c r="D122" s="61">
        <v>1</v>
      </c>
      <c r="E122" s="59">
        <f t="shared" si="2"/>
        <v>1</v>
      </c>
    </row>
    <row r="123" spans="1:5" x14ac:dyDescent="0.25">
      <c r="A123" s="56">
        <v>321800</v>
      </c>
      <c r="B123" s="57" t="s">
        <v>152</v>
      </c>
      <c r="C123" s="62">
        <v>321800</v>
      </c>
      <c r="D123" s="61">
        <v>1</v>
      </c>
      <c r="E123" s="59">
        <f t="shared" si="2"/>
        <v>1</v>
      </c>
    </row>
    <row r="124" spans="1:5" x14ac:dyDescent="0.25">
      <c r="A124" s="56">
        <v>321810</v>
      </c>
      <c r="B124" s="57" t="s">
        <v>153</v>
      </c>
      <c r="C124" s="62">
        <v>321810</v>
      </c>
      <c r="D124" s="61">
        <v>1</v>
      </c>
      <c r="E124" s="59">
        <f t="shared" si="2"/>
        <v>1</v>
      </c>
    </row>
    <row r="125" spans="1:5" x14ac:dyDescent="0.25">
      <c r="A125" s="56">
        <v>321820</v>
      </c>
      <c r="B125" s="57" t="s">
        <v>154</v>
      </c>
      <c r="C125" s="62">
        <v>321820</v>
      </c>
      <c r="D125" s="61">
        <v>1</v>
      </c>
      <c r="E125" s="59">
        <f t="shared" si="2"/>
        <v>1</v>
      </c>
    </row>
    <row r="126" spans="1:5" x14ac:dyDescent="0.25">
      <c r="A126" s="56">
        <v>300130</v>
      </c>
      <c r="B126" s="57" t="s">
        <v>155</v>
      </c>
      <c r="C126" s="62">
        <v>300130</v>
      </c>
      <c r="D126" s="61">
        <v>1</v>
      </c>
      <c r="E126" s="59">
        <f t="shared" si="2"/>
        <v>1</v>
      </c>
    </row>
    <row r="127" spans="1:5" x14ac:dyDescent="0.25">
      <c r="A127" s="56">
        <v>340320</v>
      </c>
      <c r="B127" s="57" t="s">
        <v>156</v>
      </c>
      <c r="C127" s="62">
        <v>340320</v>
      </c>
      <c r="D127" s="61">
        <v>1</v>
      </c>
      <c r="E127" s="59">
        <f t="shared" si="2"/>
        <v>1</v>
      </c>
    </row>
    <row r="128" spans="1:5" x14ac:dyDescent="0.25">
      <c r="A128" s="56">
        <v>346000</v>
      </c>
      <c r="B128" s="57" t="s">
        <v>157</v>
      </c>
      <c r="C128" s="62">
        <v>346000</v>
      </c>
      <c r="D128" s="61">
        <v>1</v>
      </c>
      <c r="E128" s="59">
        <f t="shared" si="2"/>
        <v>1</v>
      </c>
    </row>
    <row r="129" spans="1:5" x14ac:dyDescent="0.25">
      <c r="A129" s="56">
        <v>326280</v>
      </c>
      <c r="B129" s="57" t="s">
        <v>158</v>
      </c>
      <c r="C129" s="62">
        <v>326280</v>
      </c>
      <c r="D129" s="61">
        <v>1</v>
      </c>
      <c r="E129" s="59">
        <f t="shared" si="2"/>
        <v>1</v>
      </c>
    </row>
    <row r="130" spans="1:5" x14ac:dyDescent="0.25">
      <c r="A130" s="56">
        <v>336090</v>
      </c>
      <c r="B130" s="57" t="s">
        <v>159</v>
      </c>
      <c r="C130" s="62">
        <v>336090</v>
      </c>
      <c r="D130" s="61">
        <v>1</v>
      </c>
      <c r="E130" s="59">
        <f t="shared" si="2"/>
        <v>1</v>
      </c>
    </row>
    <row r="131" spans="1:5" x14ac:dyDescent="0.25">
      <c r="A131" s="56">
        <v>346070</v>
      </c>
      <c r="B131" s="57" t="s">
        <v>160</v>
      </c>
      <c r="C131" s="62">
        <v>346070</v>
      </c>
      <c r="D131" s="61">
        <v>1</v>
      </c>
      <c r="E131" s="59">
        <f t="shared" si="2"/>
        <v>1</v>
      </c>
    </row>
    <row r="132" spans="1:5" x14ac:dyDescent="0.25">
      <c r="A132" s="56">
        <v>340030</v>
      </c>
      <c r="B132" s="173" t="s">
        <v>452</v>
      </c>
      <c r="C132" s="62">
        <v>340030</v>
      </c>
      <c r="D132" s="61">
        <v>1</v>
      </c>
      <c r="E132" s="59">
        <v>1</v>
      </c>
    </row>
    <row r="133" spans="1:5" x14ac:dyDescent="0.25">
      <c r="A133" s="56">
        <v>370700</v>
      </c>
      <c r="B133" s="57" t="s">
        <v>161</v>
      </c>
      <c r="C133" s="62">
        <v>370700</v>
      </c>
      <c r="D133" s="61">
        <v>1</v>
      </c>
      <c r="E133" s="59">
        <f t="shared" si="2"/>
        <v>1</v>
      </c>
    </row>
    <row r="134" spans="1:5" x14ac:dyDescent="0.25">
      <c r="A134" s="56">
        <v>370440</v>
      </c>
      <c r="B134" s="57" t="s">
        <v>162</v>
      </c>
      <c r="C134" s="62">
        <v>370440</v>
      </c>
      <c r="D134" s="61">
        <v>1</v>
      </c>
      <c r="E134" s="59">
        <f t="shared" si="2"/>
        <v>1</v>
      </c>
    </row>
    <row r="135" spans="1:5" x14ac:dyDescent="0.25">
      <c r="A135" s="56">
        <v>322140</v>
      </c>
      <c r="B135" s="57" t="s">
        <v>163</v>
      </c>
      <c r="C135" s="62">
        <v>322140</v>
      </c>
      <c r="D135" s="61">
        <v>1</v>
      </c>
      <c r="E135" s="59">
        <f t="shared" si="2"/>
        <v>1</v>
      </c>
    </row>
    <row r="136" spans="1:5" x14ac:dyDescent="0.25">
      <c r="A136" s="56">
        <v>313180</v>
      </c>
      <c r="B136" s="57" t="s">
        <v>164</v>
      </c>
      <c r="C136" s="62">
        <v>313180</v>
      </c>
      <c r="D136" s="61">
        <v>1</v>
      </c>
      <c r="E136" s="59">
        <f t="shared" si="2"/>
        <v>1</v>
      </c>
    </row>
    <row r="137" spans="1:5" x14ac:dyDescent="0.25">
      <c r="A137" s="56">
        <v>323180</v>
      </c>
      <c r="B137" s="57" t="s">
        <v>165</v>
      </c>
      <c r="C137" s="62">
        <v>323180</v>
      </c>
      <c r="D137" s="61">
        <v>1</v>
      </c>
      <c r="E137" s="59">
        <f t="shared" si="2"/>
        <v>1</v>
      </c>
    </row>
    <row r="138" spans="1:5" x14ac:dyDescent="0.25">
      <c r="A138" s="56">
        <v>333180</v>
      </c>
      <c r="B138" s="57" t="s">
        <v>166</v>
      </c>
      <c r="C138" s="62">
        <v>333180</v>
      </c>
      <c r="D138" s="61">
        <v>1</v>
      </c>
      <c r="E138" s="59">
        <f t="shared" si="2"/>
        <v>1</v>
      </c>
    </row>
    <row r="139" spans="1:5" x14ac:dyDescent="0.25">
      <c r="A139" s="56">
        <v>323514</v>
      </c>
      <c r="B139" s="57" t="s">
        <v>453</v>
      </c>
      <c r="C139" s="62">
        <v>323514</v>
      </c>
      <c r="D139" s="61">
        <v>1</v>
      </c>
      <c r="E139" s="59">
        <v>1</v>
      </c>
    </row>
    <row r="140" spans="1:5" x14ac:dyDescent="0.25">
      <c r="A140" s="56">
        <v>370150</v>
      </c>
      <c r="B140" s="57" t="s">
        <v>167</v>
      </c>
      <c r="C140" s="62">
        <v>370150</v>
      </c>
      <c r="D140" s="61">
        <v>1</v>
      </c>
      <c r="E140" s="59">
        <f t="shared" si="2"/>
        <v>1</v>
      </c>
    </row>
    <row r="141" spans="1:5" x14ac:dyDescent="0.25">
      <c r="A141" s="56">
        <v>300140</v>
      </c>
      <c r="B141" s="57" t="s">
        <v>168</v>
      </c>
      <c r="C141" s="62">
        <v>300140</v>
      </c>
      <c r="D141" s="61">
        <v>1</v>
      </c>
      <c r="E141" s="59">
        <f t="shared" si="2"/>
        <v>1</v>
      </c>
    </row>
    <row r="142" spans="1:5" x14ac:dyDescent="0.25">
      <c r="A142" s="56">
        <v>300170</v>
      </c>
      <c r="B142" s="57" t="s">
        <v>169</v>
      </c>
      <c r="C142" s="62">
        <v>300170</v>
      </c>
      <c r="D142" s="61">
        <v>1</v>
      </c>
      <c r="E142" s="59">
        <f t="shared" si="2"/>
        <v>1</v>
      </c>
    </row>
    <row r="143" spans="1:5" x14ac:dyDescent="0.25">
      <c r="A143" s="56">
        <v>346020</v>
      </c>
      <c r="B143" s="57" t="s">
        <v>170</v>
      </c>
      <c r="C143" s="62">
        <v>346020</v>
      </c>
      <c r="D143" s="61">
        <v>1</v>
      </c>
      <c r="E143" s="59">
        <f t="shared" si="2"/>
        <v>1</v>
      </c>
    </row>
    <row r="144" spans="1:5" x14ac:dyDescent="0.25">
      <c r="A144" s="56">
        <v>346080</v>
      </c>
      <c r="B144" s="57" t="s">
        <v>171</v>
      </c>
      <c r="C144" s="62">
        <v>346080</v>
      </c>
      <c r="D144" s="61">
        <v>1</v>
      </c>
      <c r="E144" s="59">
        <f t="shared" si="2"/>
        <v>1</v>
      </c>
    </row>
    <row r="145" spans="1:5" x14ac:dyDescent="0.25">
      <c r="A145" s="56">
        <v>370400</v>
      </c>
      <c r="B145" s="57" t="s">
        <v>172</v>
      </c>
      <c r="C145" s="62">
        <v>370400</v>
      </c>
      <c r="D145" s="61">
        <v>1</v>
      </c>
      <c r="E145" s="59">
        <f t="shared" si="2"/>
        <v>1</v>
      </c>
    </row>
    <row r="146" spans="1:5" x14ac:dyDescent="0.25">
      <c r="A146" s="56">
        <v>300010</v>
      </c>
      <c r="B146" s="57" t="s">
        <v>173</v>
      </c>
      <c r="C146" s="62">
        <v>300010</v>
      </c>
      <c r="D146" s="61">
        <v>1</v>
      </c>
      <c r="E146" s="59">
        <f t="shared" si="2"/>
        <v>1</v>
      </c>
    </row>
    <row r="147" spans="1:5" x14ac:dyDescent="0.25">
      <c r="A147" s="56">
        <v>346220</v>
      </c>
      <c r="B147" s="57" t="s">
        <v>174</v>
      </c>
      <c r="C147" s="62">
        <v>346220</v>
      </c>
      <c r="D147" s="61">
        <v>1</v>
      </c>
      <c r="E147" s="59">
        <f t="shared" si="2"/>
        <v>1</v>
      </c>
    </row>
    <row r="148" spans="1:5" x14ac:dyDescent="0.25">
      <c r="A148" s="56">
        <v>316000</v>
      </c>
      <c r="B148" s="57" t="s">
        <v>175</v>
      </c>
      <c r="C148" s="62">
        <v>316000</v>
      </c>
      <c r="D148" s="61">
        <v>1</v>
      </c>
      <c r="E148" s="59">
        <f t="shared" si="2"/>
        <v>1</v>
      </c>
    </row>
    <row r="149" spans="1:5" x14ac:dyDescent="0.25">
      <c r="A149" s="56">
        <v>370040</v>
      </c>
      <c r="B149" s="57" t="s">
        <v>176</v>
      </c>
      <c r="C149" s="63">
        <v>370040</v>
      </c>
      <c r="D149" s="61">
        <v>1</v>
      </c>
      <c r="E149" s="59">
        <f t="shared" si="2"/>
        <v>1</v>
      </c>
    </row>
    <row r="150" spans="1:5" x14ac:dyDescent="0.25">
      <c r="A150" s="56">
        <v>346050</v>
      </c>
      <c r="B150" s="57" t="s">
        <v>177</v>
      </c>
      <c r="C150" s="62">
        <v>346050</v>
      </c>
      <c r="D150" s="61">
        <v>1</v>
      </c>
      <c r="E150" s="59">
        <f t="shared" si="2"/>
        <v>1</v>
      </c>
    </row>
    <row r="151" spans="1:5" x14ac:dyDescent="0.25">
      <c r="A151" s="56">
        <v>342300</v>
      </c>
      <c r="B151" s="57" t="s">
        <v>178</v>
      </c>
      <c r="C151" s="62">
        <v>342300</v>
      </c>
      <c r="D151" s="61">
        <v>1</v>
      </c>
      <c r="E151" s="59">
        <f t="shared" si="2"/>
        <v>1</v>
      </c>
    </row>
    <row r="152" spans="1:5" x14ac:dyDescent="0.25">
      <c r="A152" s="56">
        <v>346010</v>
      </c>
      <c r="B152" s="57" t="s">
        <v>179</v>
      </c>
      <c r="C152" s="62">
        <v>346010</v>
      </c>
      <c r="D152" s="61">
        <v>1</v>
      </c>
      <c r="E152" s="59">
        <f t="shared" si="2"/>
        <v>1</v>
      </c>
    </row>
    <row r="153" spans="1:5" x14ac:dyDescent="0.25">
      <c r="A153" s="56">
        <v>341800</v>
      </c>
      <c r="B153" s="57" t="s">
        <v>180</v>
      </c>
      <c r="C153" s="62">
        <v>341800</v>
      </c>
      <c r="D153" s="61">
        <v>1</v>
      </c>
      <c r="E153" s="59">
        <f t="shared" si="2"/>
        <v>1</v>
      </c>
    </row>
    <row r="154" spans="1:5" x14ac:dyDescent="0.25">
      <c r="A154" s="56">
        <v>343800</v>
      </c>
      <c r="B154" s="57" t="s">
        <v>181</v>
      </c>
      <c r="C154" s="62">
        <v>343800</v>
      </c>
      <c r="D154" s="61">
        <v>1</v>
      </c>
      <c r="E154" s="59">
        <f t="shared" si="2"/>
        <v>1</v>
      </c>
    </row>
    <row r="155" spans="1:5" x14ac:dyDescent="0.25">
      <c r="A155" s="56">
        <v>346090</v>
      </c>
      <c r="B155" s="57" t="s">
        <v>182</v>
      </c>
      <c r="C155" s="62">
        <v>346090</v>
      </c>
      <c r="D155" s="61">
        <v>1</v>
      </c>
      <c r="E155" s="59">
        <f t="shared" si="2"/>
        <v>1</v>
      </c>
    </row>
    <row r="156" spans="1:5" x14ac:dyDescent="0.25">
      <c r="A156" s="56">
        <v>346030</v>
      </c>
      <c r="B156" s="57" t="s">
        <v>183</v>
      </c>
      <c r="C156" s="62">
        <v>346030</v>
      </c>
      <c r="D156" s="61">
        <v>1</v>
      </c>
      <c r="E156" s="59">
        <f t="shared" si="2"/>
        <v>1</v>
      </c>
    </row>
    <row r="157" spans="1:5" x14ac:dyDescent="0.25">
      <c r="A157" s="56">
        <v>346060</v>
      </c>
      <c r="B157" s="57" t="s">
        <v>184</v>
      </c>
      <c r="C157" s="62">
        <v>346060</v>
      </c>
      <c r="D157" s="61">
        <v>1</v>
      </c>
      <c r="E157" s="59">
        <f t="shared" si="2"/>
        <v>1</v>
      </c>
    </row>
    <row r="158" spans="1:5" x14ac:dyDescent="0.25">
      <c r="A158" s="56">
        <v>370100</v>
      </c>
      <c r="B158" s="57" t="s">
        <v>185</v>
      </c>
      <c r="C158" s="62">
        <v>370100</v>
      </c>
      <c r="D158" s="61">
        <v>1</v>
      </c>
      <c r="E158" s="59">
        <f t="shared" si="2"/>
        <v>1</v>
      </c>
    </row>
    <row r="159" spans="1:5" x14ac:dyDescent="0.25">
      <c r="A159" s="56">
        <v>370140</v>
      </c>
      <c r="B159" s="57" t="s">
        <v>186</v>
      </c>
      <c r="C159" s="62">
        <v>370140</v>
      </c>
      <c r="D159" s="61">
        <v>1</v>
      </c>
      <c r="E159" s="59">
        <f t="shared" si="2"/>
        <v>1</v>
      </c>
    </row>
    <row r="160" spans="1:5" x14ac:dyDescent="0.25">
      <c r="A160" s="56">
        <v>300030</v>
      </c>
      <c r="B160" s="57" t="s">
        <v>187</v>
      </c>
      <c r="C160" s="62">
        <v>300030</v>
      </c>
      <c r="D160" s="61">
        <v>1</v>
      </c>
      <c r="E160" s="59">
        <f t="shared" si="2"/>
        <v>1</v>
      </c>
    </row>
  </sheetData>
  <mergeCells count="4">
    <mergeCell ref="C2:C101"/>
    <mergeCell ref="C103:C106"/>
    <mergeCell ref="D103:D106"/>
    <mergeCell ref="E103:E10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5"/>
  <sheetViews>
    <sheetView zoomScaleNormal="100" workbookViewId="0">
      <selection activeCell="A3" sqref="A3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45" t="s">
        <v>188</v>
      </c>
      <c r="B1" s="245" t="s">
        <v>189</v>
      </c>
      <c r="C1" s="245"/>
    </row>
    <row r="2" spans="1:3" ht="15" x14ac:dyDescent="0.2">
      <c r="A2" s="245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340030</v>
      </c>
      <c r="B29" s="65">
        <v>340030</v>
      </c>
      <c r="C29" s="66">
        <v>1</v>
      </c>
    </row>
    <row r="30" spans="1:3" x14ac:dyDescent="0.2">
      <c r="A30" s="65">
        <v>370700</v>
      </c>
      <c r="B30" s="65">
        <v>370700</v>
      </c>
      <c r="C30" s="66">
        <v>1</v>
      </c>
    </row>
    <row r="31" spans="1:3" x14ac:dyDescent="0.2">
      <c r="A31" s="65">
        <v>370440</v>
      </c>
      <c r="B31" s="65">
        <v>370440</v>
      </c>
      <c r="C31" s="66">
        <v>1</v>
      </c>
    </row>
    <row r="32" spans="1:3" x14ac:dyDescent="0.2">
      <c r="A32" s="65">
        <v>322140</v>
      </c>
      <c r="B32" s="65">
        <v>322140</v>
      </c>
      <c r="C32" s="66">
        <v>1</v>
      </c>
    </row>
    <row r="33" spans="1:3" x14ac:dyDescent="0.2">
      <c r="A33" s="65">
        <v>313180</v>
      </c>
      <c r="B33" s="65">
        <v>313180</v>
      </c>
      <c r="C33" s="66">
        <v>1</v>
      </c>
    </row>
    <row r="34" spans="1:3" x14ac:dyDescent="0.2">
      <c r="A34" s="65">
        <v>323180</v>
      </c>
      <c r="B34" s="65">
        <v>323180</v>
      </c>
      <c r="C34" s="66">
        <v>1</v>
      </c>
    </row>
    <row r="35" spans="1:3" x14ac:dyDescent="0.2">
      <c r="A35" s="65">
        <v>333180</v>
      </c>
      <c r="B35" s="65">
        <v>333180</v>
      </c>
      <c r="C35" s="66">
        <v>1</v>
      </c>
    </row>
    <row r="36" spans="1:3" x14ac:dyDescent="0.2">
      <c r="A36" s="65">
        <v>323514</v>
      </c>
      <c r="B36" s="65">
        <v>323514</v>
      </c>
      <c r="C36" s="66">
        <v>1</v>
      </c>
    </row>
    <row r="37" spans="1:3" x14ac:dyDescent="0.2">
      <c r="A37" s="65">
        <v>370150</v>
      </c>
      <c r="B37" s="65">
        <v>370150</v>
      </c>
      <c r="C37" s="66">
        <v>1</v>
      </c>
    </row>
    <row r="38" spans="1:3" x14ac:dyDescent="0.2">
      <c r="A38" s="65">
        <v>300140</v>
      </c>
      <c r="B38" s="65">
        <v>300140</v>
      </c>
      <c r="C38" s="66">
        <v>1</v>
      </c>
    </row>
    <row r="39" spans="1:3" x14ac:dyDescent="0.2">
      <c r="A39" s="65">
        <v>300170</v>
      </c>
      <c r="B39" s="65">
        <v>300170</v>
      </c>
      <c r="C39" s="66">
        <v>1</v>
      </c>
    </row>
    <row r="40" spans="1:3" x14ac:dyDescent="0.2">
      <c r="A40" s="65">
        <v>346020</v>
      </c>
      <c r="B40" s="65">
        <v>346020</v>
      </c>
      <c r="C40" s="66">
        <v>1</v>
      </c>
    </row>
    <row r="41" spans="1:3" x14ac:dyDescent="0.2">
      <c r="A41" s="65">
        <v>346080</v>
      </c>
      <c r="B41" s="65">
        <v>346080</v>
      </c>
      <c r="C41" s="66">
        <v>1</v>
      </c>
    </row>
    <row r="42" spans="1:3" x14ac:dyDescent="0.2">
      <c r="A42" s="65">
        <v>370400</v>
      </c>
      <c r="B42" s="65">
        <v>370400</v>
      </c>
      <c r="C42" s="66">
        <v>1</v>
      </c>
    </row>
    <row r="43" spans="1:3" x14ac:dyDescent="0.2">
      <c r="A43" s="65">
        <v>300010</v>
      </c>
      <c r="B43" s="65">
        <v>300010</v>
      </c>
      <c r="C43" s="66">
        <v>1</v>
      </c>
    </row>
    <row r="44" spans="1:3" x14ac:dyDescent="0.2">
      <c r="A44" s="65">
        <v>346220</v>
      </c>
      <c r="B44" s="65">
        <v>346220</v>
      </c>
      <c r="C44" s="66">
        <v>1</v>
      </c>
    </row>
    <row r="45" spans="1:3" x14ac:dyDescent="0.2">
      <c r="A45" s="65">
        <v>316000</v>
      </c>
      <c r="B45" s="65">
        <v>316000</v>
      </c>
      <c r="C45" s="66">
        <v>1</v>
      </c>
    </row>
    <row r="46" spans="1:3" x14ac:dyDescent="0.2">
      <c r="A46" s="65">
        <v>370040</v>
      </c>
      <c r="B46" s="65">
        <v>370040</v>
      </c>
      <c r="C46" s="66">
        <v>1</v>
      </c>
    </row>
    <row r="47" spans="1:3" x14ac:dyDescent="0.2">
      <c r="A47" s="65">
        <v>346050</v>
      </c>
      <c r="B47" s="65">
        <v>346050</v>
      </c>
      <c r="C47" s="66">
        <v>1</v>
      </c>
    </row>
    <row r="48" spans="1:3" x14ac:dyDescent="0.2">
      <c r="A48" s="65">
        <v>342300</v>
      </c>
      <c r="B48" s="65">
        <v>342300</v>
      </c>
      <c r="C48" s="66">
        <v>1</v>
      </c>
    </row>
    <row r="49" spans="1:3" x14ac:dyDescent="0.2">
      <c r="A49" s="65">
        <v>346010</v>
      </c>
      <c r="B49" s="65">
        <v>346010</v>
      </c>
      <c r="C49" s="66">
        <v>1</v>
      </c>
    </row>
    <row r="50" spans="1:3" x14ac:dyDescent="0.2">
      <c r="A50" s="65">
        <v>341800</v>
      </c>
      <c r="B50" s="65">
        <v>341800</v>
      </c>
      <c r="C50" s="66">
        <v>1</v>
      </c>
    </row>
    <row r="51" spans="1:3" x14ac:dyDescent="0.2">
      <c r="A51" s="65">
        <v>343800</v>
      </c>
      <c r="B51" s="65">
        <v>343800</v>
      </c>
      <c r="C51" s="66">
        <v>1</v>
      </c>
    </row>
    <row r="52" spans="1:3" x14ac:dyDescent="0.2">
      <c r="A52" s="65">
        <v>346090</v>
      </c>
      <c r="B52" s="65">
        <v>346090</v>
      </c>
      <c r="C52" s="66">
        <v>1</v>
      </c>
    </row>
    <row r="53" spans="1:3" x14ac:dyDescent="0.2">
      <c r="A53" s="65">
        <v>346030</v>
      </c>
      <c r="B53" s="65">
        <v>346030</v>
      </c>
      <c r="C53" s="66">
        <v>1</v>
      </c>
    </row>
    <row r="54" spans="1:3" x14ac:dyDescent="0.2">
      <c r="A54" s="65">
        <v>346060</v>
      </c>
      <c r="B54" s="65">
        <v>346060</v>
      </c>
      <c r="C54" s="66">
        <v>1</v>
      </c>
    </row>
    <row r="55" spans="1:3" x14ac:dyDescent="0.2">
      <c r="A55" s="65">
        <v>370100</v>
      </c>
      <c r="B55" s="65">
        <v>370100</v>
      </c>
      <c r="C55" s="66">
        <v>1</v>
      </c>
    </row>
    <row r="56" spans="1:3" x14ac:dyDescent="0.2">
      <c r="A56" s="65">
        <v>370140</v>
      </c>
      <c r="B56" s="65">
        <v>370140</v>
      </c>
      <c r="C56" s="66">
        <v>1</v>
      </c>
    </row>
    <row r="57" spans="1:3" x14ac:dyDescent="0.2">
      <c r="A57" s="65">
        <v>300030</v>
      </c>
      <c r="B57" s="65">
        <v>300030</v>
      </c>
      <c r="C57" s="66">
        <v>1</v>
      </c>
    </row>
    <row r="58" spans="1:3" x14ac:dyDescent="0.2">
      <c r="A58" s="65">
        <v>399502</v>
      </c>
      <c r="B58" s="65">
        <v>346020</v>
      </c>
      <c r="C58" s="66">
        <v>1</v>
      </c>
    </row>
    <row r="59" spans="1:3" x14ac:dyDescent="0.2">
      <c r="A59" s="65">
        <v>319300</v>
      </c>
      <c r="B59" s="65" t="s">
        <v>372</v>
      </c>
      <c r="C59" s="66">
        <v>0.5</v>
      </c>
    </row>
    <row r="60" spans="1:3" x14ac:dyDescent="0.2">
      <c r="A60" s="65">
        <v>329300</v>
      </c>
      <c r="B60" s="65" t="s">
        <v>372</v>
      </c>
      <c r="C60" s="66">
        <v>0.5</v>
      </c>
    </row>
    <row r="61" spans="1:3" x14ac:dyDescent="0.2">
      <c r="A61" s="65">
        <v>339300</v>
      </c>
      <c r="B61" s="65" t="s">
        <v>372</v>
      </c>
      <c r="C61" s="66">
        <v>0.5</v>
      </c>
    </row>
    <row r="62" spans="1:3" x14ac:dyDescent="0.2">
      <c r="A62" s="65">
        <v>319660</v>
      </c>
      <c r="B62" s="65" t="s">
        <v>372</v>
      </c>
      <c r="C62" s="66">
        <v>0.5</v>
      </c>
    </row>
    <row r="63" spans="1:3" x14ac:dyDescent="0.2">
      <c r="A63" s="65">
        <v>329660</v>
      </c>
      <c r="B63" s="65" t="s">
        <v>372</v>
      </c>
      <c r="C63" s="66">
        <v>0.5</v>
      </c>
    </row>
    <row r="64" spans="1:3" x14ac:dyDescent="0.2">
      <c r="A64" s="65">
        <v>339660</v>
      </c>
      <c r="B64" s="65" t="s">
        <v>372</v>
      </c>
      <c r="C64" s="66">
        <v>0.5</v>
      </c>
    </row>
    <row r="65" spans="1:3" x14ac:dyDescent="0.2">
      <c r="A65" s="65">
        <v>320550</v>
      </c>
      <c r="B65" s="65" t="s">
        <v>372</v>
      </c>
      <c r="C65" s="66">
        <v>0.5</v>
      </c>
    </row>
    <row r="66" spans="1:3" x14ac:dyDescent="0.2">
      <c r="A66" s="65">
        <v>306010</v>
      </c>
      <c r="B66" s="65" t="s">
        <v>372</v>
      </c>
      <c r="C66" s="66">
        <v>0.5</v>
      </c>
    </row>
    <row r="67" spans="1:3" x14ac:dyDescent="0.2">
      <c r="A67" s="65">
        <v>310030</v>
      </c>
      <c r="B67" s="65" t="s">
        <v>372</v>
      </c>
      <c r="C67" s="66">
        <v>1</v>
      </c>
    </row>
    <row r="68" spans="1:3" x14ac:dyDescent="0.2">
      <c r="A68" s="65">
        <v>300125</v>
      </c>
      <c r="B68" s="65" t="s">
        <v>372</v>
      </c>
      <c r="C68" s="66">
        <v>1</v>
      </c>
    </row>
    <row r="69" spans="1:3" x14ac:dyDescent="0.2">
      <c r="A69" s="65">
        <v>300510</v>
      </c>
      <c r="B69" s="65" t="s">
        <v>372</v>
      </c>
      <c r="C69" s="66">
        <v>1</v>
      </c>
    </row>
    <row r="70" spans="1:3" x14ac:dyDescent="0.2">
      <c r="A70" s="65">
        <v>313200</v>
      </c>
      <c r="B70" s="65" t="s">
        <v>372</v>
      </c>
      <c r="C70" s="66">
        <v>1</v>
      </c>
    </row>
    <row r="71" spans="1:3" x14ac:dyDescent="0.2">
      <c r="A71" s="65">
        <v>323200</v>
      </c>
      <c r="B71" s="65" t="s">
        <v>372</v>
      </c>
      <c r="C71" s="66">
        <v>1</v>
      </c>
    </row>
    <row r="72" spans="1:3" x14ac:dyDescent="0.2">
      <c r="A72" s="65">
        <v>333200</v>
      </c>
      <c r="B72" s="65" t="s">
        <v>372</v>
      </c>
      <c r="C72" s="66">
        <v>1</v>
      </c>
    </row>
    <row r="73" spans="1:3" x14ac:dyDescent="0.2">
      <c r="A73" s="65">
        <v>313300</v>
      </c>
      <c r="B73" s="65" t="s">
        <v>372</v>
      </c>
      <c r="C73" s="66">
        <v>1</v>
      </c>
    </row>
    <row r="74" spans="1:3" x14ac:dyDescent="0.2">
      <c r="A74" s="65">
        <v>323300</v>
      </c>
      <c r="B74" s="65" t="s">
        <v>372</v>
      </c>
      <c r="C74" s="66">
        <v>1</v>
      </c>
    </row>
    <row r="75" spans="1:3" x14ac:dyDescent="0.2">
      <c r="A75" s="65">
        <v>333300</v>
      </c>
      <c r="B75" s="65" t="s">
        <v>372</v>
      </c>
      <c r="C75" s="66">
        <v>1</v>
      </c>
    </row>
    <row r="76" spans="1:3" x14ac:dyDescent="0.2">
      <c r="A76" s="65">
        <v>310800</v>
      </c>
      <c r="B76" s="65" t="s">
        <v>372</v>
      </c>
      <c r="C76" s="66">
        <v>1</v>
      </c>
    </row>
    <row r="77" spans="1:3" x14ac:dyDescent="0.2">
      <c r="A77" s="65">
        <v>320800</v>
      </c>
      <c r="B77" s="65" t="s">
        <v>372</v>
      </c>
      <c r="C77" s="66">
        <v>1</v>
      </c>
    </row>
    <row r="78" spans="1:3" x14ac:dyDescent="0.2">
      <c r="A78" s="65">
        <v>330800</v>
      </c>
      <c r="B78" s="65" t="s">
        <v>372</v>
      </c>
      <c r="C78" s="66">
        <v>1</v>
      </c>
    </row>
    <row r="79" spans="1:3" x14ac:dyDescent="0.2">
      <c r="A79" s="65">
        <v>311500</v>
      </c>
      <c r="B79" s="65" t="s">
        <v>372</v>
      </c>
      <c r="C79" s="66">
        <v>1</v>
      </c>
    </row>
    <row r="80" spans="1:3" x14ac:dyDescent="0.2">
      <c r="A80" s="65">
        <v>321500</v>
      </c>
      <c r="B80" s="65" t="s">
        <v>372</v>
      </c>
      <c r="C80" s="66">
        <v>1</v>
      </c>
    </row>
    <row r="81" spans="1:3" x14ac:dyDescent="0.2">
      <c r="A81" s="65">
        <v>331500</v>
      </c>
      <c r="B81" s="65" t="s">
        <v>372</v>
      </c>
      <c r="C81" s="66">
        <v>1</v>
      </c>
    </row>
    <row r="82" spans="1:3" x14ac:dyDescent="0.2">
      <c r="A82" s="65">
        <v>390000</v>
      </c>
      <c r="B82" s="65" t="s">
        <v>372</v>
      </c>
      <c r="C82" s="66">
        <v>1</v>
      </c>
    </row>
    <row r="83" spans="1:3" x14ac:dyDescent="0.2">
      <c r="A83" s="65">
        <v>390200</v>
      </c>
      <c r="B83" s="65" t="s">
        <v>372</v>
      </c>
      <c r="C83" s="66">
        <v>1</v>
      </c>
    </row>
    <row r="84" spans="1:3" x14ac:dyDescent="0.2">
      <c r="A84" s="65">
        <v>390100</v>
      </c>
      <c r="B84" s="65" t="s">
        <v>372</v>
      </c>
      <c r="C84" s="66">
        <v>1</v>
      </c>
    </row>
    <row r="85" spans="1:3" x14ac:dyDescent="0.2">
      <c r="A85" s="65">
        <v>351500</v>
      </c>
      <c r="B85" s="65" t="s">
        <v>372</v>
      </c>
      <c r="C85" s="66">
        <v>0.5</v>
      </c>
    </row>
    <row r="86" spans="1:3" x14ac:dyDescent="0.2">
      <c r="A86" s="65">
        <v>351000</v>
      </c>
      <c r="B86" s="65" t="s">
        <v>372</v>
      </c>
      <c r="C86" s="66">
        <v>1</v>
      </c>
    </row>
    <row r="87" spans="1:3" x14ac:dyDescent="0.2">
      <c r="A87" s="65">
        <v>352000</v>
      </c>
      <c r="B87" s="65" t="s">
        <v>372</v>
      </c>
      <c r="C87" s="66">
        <v>1</v>
      </c>
    </row>
    <row r="88" spans="1:3" x14ac:dyDescent="0.2">
      <c r="A88" s="65">
        <v>327530</v>
      </c>
      <c r="B88" s="65" t="s">
        <v>372</v>
      </c>
      <c r="C88" s="66">
        <v>0.33</v>
      </c>
    </row>
    <row r="89" spans="1:3" x14ac:dyDescent="0.2">
      <c r="A89" s="65">
        <v>352500</v>
      </c>
      <c r="B89" s="65" t="s">
        <v>372</v>
      </c>
      <c r="C89" s="66">
        <v>0.5</v>
      </c>
    </row>
    <row r="90" spans="1:3" x14ac:dyDescent="0.2">
      <c r="A90" s="65">
        <v>312000</v>
      </c>
      <c r="B90" s="65" t="s">
        <v>372</v>
      </c>
      <c r="C90" s="66">
        <v>0.5</v>
      </c>
    </row>
    <row r="91" spans="1:3" x14ac:dyDescent="0.2">
      <c r="A91" s="65">
        <v>311200</v>
      </c>
      <c r="B91" s="65" t="s">
        <v>372</v>
      </c>
      <c r="C91" s="66">
        <v>1</v>
      </c>
    </row>
    <row r="92" spans="1:3" x14ac:dyDescent="0.2">
      <c r="A92" s="65">
        <v>321200</v>
      </c>
      <c r="B92" s="65" t="s">
        <v>372</v>
      </c>
      <c r="C92" s="66">
        <v>1</v>
      </c>
    </row>
    <row r="93" spans="1:3" x14ac:dyDescent="0.2">
      <c r="A93" s="65">
        <v>331200</v>
      </c>
      <c r="B93" s="65" t="s">
        <v>372</v>
      </c>
      <c r="C93" s="66">
        <v>1</v>
      </c>
    </row>
    <row r="94" spans="1:3" x14ac:dyDescent="0.2">
      <c r="A94" s="65">
        <v>310400</v>
      </c>
      <c r="B94" s="65" t="s">
        <v>372</v>
      </c>
      <c r="C94" s="66">
        <v>1</v>
      </c>
    </row>
    <row r="95" spans="1:3" x14ac:dyDescent="0.2">
      <c r="A95" s="65">
        <v>320400</v>
      </c>
      <c r="B95" s="65" t="s">
        <v>372</v>
      </c>
      <c r="C95" s="66">
        <v>1</v>
      </c>
    </row>
    <row r="96" spans="1:3" x14ac:dyDescent="0.2">
      <c r="A96" s="65">
        <v>330400</v>
      </c>
      <c r="B96" s="65" t="s">
        <v>372</v>
      </c>
      <c r="C96" s="66">
        <v>1</v>
      </c>
    </row>
    <row r="97" spans="1:3" x14ac:dyDescent="0.2">
      <c r="A97" s="65">
        <v>311400</v>
      </c>
      <c r="B97" s="65" t="s">
        <v>372</v>
      </c>
      <c r="C97" s="66">
        <v>1</v>
      </c>
    </row>
    <row r="98" spans="1:3" x14ac:dyDescent="0.2">
      <c r="A98" s="65">
        <v>321400</v>
      </c>
      <c r="B98" s="65" t="s">
        <v>372</v>
      </c>
      <c r="C98" s="66">
        <v>1</v>
      </c>
    </row>
    <row r="99" spans="1:3" x14ac:dyDescent="0.2">
      <c r="A99" s="65">
        <v>331400</v>
      </c>
      <c r="B99" s="65" t="s">
        <v>372</v>
      </c>
      <c r="C99" s="66">
        <v>1</v>
      </c>
    </row>
    <row r="100" spans="1:3" x14ac:dyDescent="0.2">
      <c r="A100" s="65">
        <v>323104</v>
      </c>
      <c r="B100" s="65" t="s">
        <v>372</v>
      </c>
      <c r="C100" s="66">
        <v>1</v>
      </c>
    </row>
    <row r="101" spans="1:3" x14ac:dyDescent="0.2">
      <c r="A101" s="65">
        <v>325125</v>
      </c>
      <c r="B101" s="65" t="s">
        <v>372</v>
      </c>
      <c r="C101" s="66">
        <v>1</v>
      </c>
    </row>
    <row r="102" spans="1:3" x14ac:dyDescent="0.2">
      <c r="A102" s="65">
        <v>325020</v>
      </c>
      <c r="B102" s="65" t="s">
        <v>372</v>
      </c>
      <c r="C102" s="66">
        <v>1</v>
      </c>
    </row>
    <row r="103" spans="1:3" x14ac:dyDescent="0.2">
      <c r="A103" s="65">
        <v>325010</v>
      </c>
      <c r="B103" s="65" t="s">
        <v>372</v>
      </c>
      <c r="C103" s="66">
        <v>1</v>
      </c>
    </row>
    <row r="104" spans="1:3" x14ac:dyDescent="0.2">
      <c r="A104" s="65">
        <v>325150</v>
      </c>
      <c r="B104" s="65" t="s">
        <v>372</v>
      </c>
      <c r="C104" s="66">
        <v>1</v>
      </c>
    </row>
    <row r="105" spans="1:3" x14ac:dyDescent="0.2">
      <c r="A105" s="65">
        <v>325200</v>
      </c>
      <c r="B105" s="65" t="s">
        <v>372</v>
      </c>
      <c r="C105" s="66">
        <v>1</v>
      </c>
    </row>
    <row r="106" spans="1:3" x14ac:dyDescent="0.2">
      <c r="A106" s="65">
        <v>325250</v>
      </c>
      <c r="B106" s="65" t="s">
        <v>372</v>
      </c>
      <c r="C106" s="66">
        <v>1</v>
      </c>
    </row>
    <row r="107" spans="1:3" x14ac:dyDescent="0.2">
      <c r="A107" s="65">
        <v>312520</v>
      </c>
      <c r="B107" s="65" t="s">
        <v>372</v>
      </c>
      <c r="C107" s="66">
        <v>0.5</v>
      </c>
    </row>
    <row r="108" spans="1:3" x14ac:dyDescent="0.2">
      <c r="A108" s="65">
        <v>322520</v>
      </c>
      <c r="B108" s="65" t="s">
        <v>372</v>
      </c>
      <c r="C108" s="66">
        <v>0.5</v>
      </c>
    </row>
    <row r="109" spans="1:3" x14ac:dyDescent="0.2">
      <c r="A109" s="65">
        <v>332520</v>
      </c>
      <c r="B109" s="65" t="s">
        <v>372</v>
      </c>
      <c r="C109" s="66">
        <v>0.5</v>
      </c>
    </row>
    <row r="110" spans="1:3" x14ac:dyDescent="0.2">
      <c r="A110" s="65">
        <v>340140</v>
      </c>
      <c r="B110" s="65" t="s">
        <v>372</v>
      </c>
      <c r="C110" s="66">
        <v>1</v>
      </c>
    </row>
    <row r="111" spans="1:3" x14ac:dyDescent="0.2">
      <c r="A111" s="65">
        <v>340150</v>
      </c>
      <c r="B111" s="65" t="s">
        <v>372</v>
      </c>
      <c r="C111" s="66">
        <v>0.5</v>
      </c>
    </row>
    <row r="112" spans="1:3" x14ac:dyDescent="0.2">
      <c r="A112" s="65">
        <v>345500</v>
      </c>
      <c r="B112" s="65" t="s">
        <v>372</v>
      </c>
      <c r="C112" s="66">
        <v>1</v>
      </c>
    </row>
    <row r="113" spans="1:3" x14ac:dyDescent="0.2">
      <c r="A113" s="65">
        <v>340210</v>
      </c>
      <c r="B113" s="65" t="s">
        <v>372</v>
      </c>
      <c r="C113" s="66">
        <v>1</v>
      </c>
    </row>
    <row r="114" spans="1:3" x14ac:dyDescent="0.2">
      <c r="A114" s="65">
        <v>340270</v>
      </c>
      <c r="B114" s="65" t="s">
        <v>372</v>
      </c>
      <c r="C114" s="66">
        <v>1</v>
      </c>
    </row>
    <row r="115" spans="1:3" x14ac:dyDescent="0.2">
      <c r="A115" s="65">
        <v>340110</v>
      </c>
      <c r="B115" s="65" t="s">
        <v>372</v>
      </c>
      <c r="C115" s="66">
        <v>0.1</v>
      </c>
    </row>
    <row r="116" spans="1:3" x14ac:dyDescent="0.2">
      <c r="A116" s="65">
        <v>340620</v>
      </c>
      <c r="B116" s="65" t="s">
        <v>372</v>
      </c>
      <c r="C116" s="66">
        <v>0.5</v>
      </c>
    </row>
    <row r="117" spans="1:3" x14ac:dyDescent="0.2">
      <c r="A117" s="65">
        <v>342220</v>
      </c>
      <c r="B117" s="65" t="s">
        <v>372</v>
      </c>
      <c r="C117" s="66">
        <v>0.1</v>
      </c>
    </row>
    <row r="118" spans="1:3" x14ac:dyDescent="0.2">
      <c r="A118" s="65">
        <v>340100</v>
      </c>
      <c r="B118" s="65" t="s">
        <v>372</v>
      </c>
      <c r="C118" s="66">
        <v>0.1</v>
      </c>
    </row>
    <row r="119" spans="1:3" x14ac:dyDescent="0.2">
      <c r="A119" s="65">
        <v>341840</v>
      </c>
      <c r="B119" s="65" t="s">
        <v>372</v>
      </c>
      <c r="C119" s="66">
        <v>0.5</v>
      </c>
    </row>
    <row r="120" spans="1:3" x14ac:dyDescent="0.2">
      <c r="A120" s="65">
        <v>340250</v>
      </c>
      <c r="B120" s="65" t="s">
        <v>372</v>
      </c>
      <c r="C120" s="66">
        <v>0.5</v>
      </c>
    </row>
    <row r="121" spans="1:3" x14ac:dyDescent="0.2">
      <c r="A121" s="65">
        <v>341150</v>
      </c>
      <c r="B121" s="65" t="s">
        <v>372</v>
      </c>
      <c r="C121" s="66">
        <v>0.5</v>
      </c>
    </row>
    <row r="122" spans="1:3" x14ac:dyDescent="0.2">
      <c r="A122" s="65">
        <v>341680</v>
      </c>
      <c r="B122" s="65" t="s">
        <v>372</v>
      </c>
      <c r="C122" s="66">
        <v>0.5</v>
      </c>
    </row>
    <row r="123" spans="1:3" x14ac:dyDescent="0.2">
      <c r="A123" s="65">
        <v>340840</v>
      </c>
      <c r="B123" s="65" t="s">
        <v>372</v>
      </c>
      <c r="C123" s="66">
        <v>0.5</v>
      </c>
    </row>
    <row r="124" spans="1:3" x14ac:dyDescent="0.2">
      <c r="A124" s="65">
        <v>300220</v>
      </c>
      <c r="B124" s="65" t="s">
        <v>372</v>
      </c>
      <c r="C124" s="66">
        <v>1</v>
      </c>
    </row>
    <row r="125" spans="1:3" x14ac:dyDescent="0.2">
      <c r="A125" s="65">
        <v>300100</v>
      </c>
      <c r="B125" s="65" t="s">
        <v>372</v>
      </c>
      <c r="C125" s="66">
        <v>1</v>
      </c>
    </row>
    <row r="126" spans="1:3" x14ac:dyDescent="0.2">
      <c r="A126" s="65">
        <v>300200</v>
      </c>
      <c r="B126" s="65" t="s">
        <v>372</v>
      </c>
      <c r="C126" s="66">
        <v>1</v>
      </c>
    </row>
    <row r="127" spans="1:3" x14ac:dyDescent="0.2">
      <c r="A127" s="65">
        <v>300210</v>
      </c>
      <c r="B127" s="65" t="s">
        <v>372</v>
      </c>
      <c r="C127" s="66">
        <v>1</v>
      </c>
    </row>
    <row r="128" spans="1:3" x14ac:dyDescent="0.2">
      <c r="A128" s="65">
        <v>341000</v>
      </c>
      <c r="B128" s="65" t="s">
        <v>372</v>
      </c>
      <c r="C128" s="66">
        <v>0.5</v>
      </c>
    </row>
    <row r="129" spans="1:3" x14ac:dyDescent="0.2">
      <c r="A129" s="65">
        <v>341100</v>
      </c>
      <c r="B129" s="65" t="s">
        <v>372</v>
      </c>
      <c r="C129" s="66">
        <v>0.5</v>
      </c>
    </row>
    <row r="130" spans="1:3" x14ac:dyDescent="0.2">
      <c r="A130" s="65">
        <v>341500</v>
      </c>
      <c r="B130" s="65" t="s">
        <v>372</v>
      </c>
      <c r="C130" s="66">
        <v>0.5</v>
      </c>
    </row>
    <row r="131" spans="1:3" x14ac:dyDescent="0.2">
      <c r="A131" s="65">
        <v>310650</v>
      </c>
      <c r="B131" s="65" t="s">
        <v>372</v>
      </c>
      <c r="C131" s="66">
        <v>1</v>
      </c>
    </row>
    <row r="132" spans="1:3" x14ac:dyDescent="0.2">
      <c r="A132" s="65">
        <v>320650</v>
      </c>
      <c r="B132" s="65" t="s">
        <v>372</v>
      </c>
      <c r="C132" s="66">
        <v>1</v>
      </c>
    </row>
    <row r="133" spans="1:3" x14ac:dyDescent="0.2">
      <c r="A133" s="65">
        <v>330650</v>
      </c>
      <c r="B133" s="65" t="s">
        <v>372</v>
      </c>
      <c r="C133" s="66">
        <v>1</v>
      </c>
    </row>
    <row r="134" spans="1:3" x14ac:dyDescent="0.2">
      <c r="A134" s="65">
        <v>310080</v>
      </c>
      <c r="B134" s="65" t="s">
        <v>372</v>
      </c>
      <c r="C134" s="66">
        <v>1</v>
      </c>
    </row>
    <row r="135" spans="1:3" x14ac:dyDescent="0.2">
      <c r="A135" s="65">
        <v>320080</v>
      </c>
      <c r="B135" s="65" t="s">
        <v>372</v>
      </c>
      <c r="C135" s="66">
        <v>1</v>
      </c>
    </row>
    <row r="136" spans="1:3" x14ac:dyDescent="0.2">
      <c r="A136" s="65">
        <v>330080</v>
      </c>
      <c r="B136" s="65" t="s">
        <v>372</v>
      </c>
      <c r="C136" s="66">
        <v>1</v>
      </c>
    </row>
    <row r="137" spans="1:3" x14ac:dyDescent="0.2">
      <c r="A137" s="65">
        <v>320700</v>
      </c>
      <c r="B137" s="65" t="s">
        <v>372</v>
      </c>
      <c r="C137" s="66">
        <v>0.5</v>
      </c>
    </row>
    <row r="138" spans="1:3" x14ac:dyDescent="0.2">
      <c r="A138" s="65">
        <v>320140</v>
      </c>
      <c r="B138" s="65" t="s">
        <v>372</v>
      </c>
      <c r="C138" s="66">
        <v>1</v>
      </c>
    </row>
    <row r="139" spans="1:3" x14ac:dyDescent="0.2">
      <c r="A139" s="65">
        <v>311650</v>
      </c>
      <c r="B139" s="65" t="s">
        <v>372</v>
      </c>
      <c r="C139" s="66">
        <v>0.5</v>
      </c>
    </row>
    <row r="140" spans="1:3" x14ac:dyDescent="0.2">
      <c r="A140" s="65">
        <v>321650</v>
      </c>
      <c r="B140" s="65" t="s">
        <v>372</v>
      </c>
      <c r="C140" s="66">
        <v>0.5</v>
      </c>
    </row>
    <row r="141" spans="1:3" x14ac:dyDescent="0.2">
      <c r="A141" s="65">
        <v>331650</v>
      </c>
      <c r="B141" s="65" t="s">
        <v>372</v>
      </c>
      <c r="C141" s="66">
        <v>0.5</v>
      </c>
    </row>
    <row r="142" spans="1:3" x14ac:dyDescent="0.2">
      <c r="A142" s="65">
        <v>310040</v>
      </c>
      <c r="B142" s="65" t="s">
        <v>372</v>
      </c>
      <c r="C142" s="66">
        <v>0.5</v>
      </c>
    </row>
    <row r="143" spans="1:3" x14ac:dyDescent="0.2">
      <c r="A143" s="65">
        <v>320040</v>
      </c>
      <c r="B143" s="65" t="s">
        <v>372</v>
      </c>
      <c r="C143" s="66">
        <v>0.5</v>
      </c>
    </row>
    <row r="144" spans="1:3" x14ac:dyDescent="0.2">
      <c r="A144" s="65">
        <v>330040</v>
      </c>
      <c r="B144" s="65" t="s">
        <v>372</v>
      </c>
      <c r="C144" s="66">
        <v>0.5</v>
      </c>
    </row>
    <row r="145" spans="1:3" x14ac:dyDescent="0.2">
      <c r="A145" s="65">
        <v>310060</v>
      </c>
      <c r="B145" s="65" t="s">
        <v>372</v>
      </c>
      <c r="C145" s="66">
        <v>0.5</v>
      </c>
    </row>
    <row r="146" spans="1:3" x14ac:dyDescent="0.2">
      <c r="A146" s="65">
        <v>320060</v>
      </c>
      <c r="B146" s="65" t="s">
        <v>372</v>
      </c>
      <c r="C146" s="66">
        <v>0.5</v>
      </c>
    </row>
    <row r="147" spans="1:3" x14ac:dyDescent="0.2">
      <c r="A147" s="65">
        <v>330060</v>
      </c>
      <c r="B147" s="65" t="s">
        <v>372</v>
      </c>
      <c r="C147" s="66">
        <v>0.5</v>
      </c>
    </row>
    <row r="148" spans="1:3" x14ac:dyDescent="0.2">
      <c r="A148" s="65">
        <v>310180</v>
      </c>
      <c r="B148" s="65" t="s">
        <v>372</v>
      </c>
      <c r="C148" s="66">
        <v>1</v>
      </c>
    </row>
    <row r="149" spans="1:3" x14ac:dyDescent="0.2">
      <c r="A149" s="65">
        <v>320180</v>
      </c>
      <c r="B149" s="65" t="s">
        <v>372</v>
      </c>
      <c r="C149" s="66">
        <v>1</v>
      </c>
    </row>
    <row r="150" spans="1:3" x14ac:dyDescent="0.2">
      <c r="A150" s="65">
        <v>330180</v>
      </c>
      <c r="B150" s="65" t="s">
        <v>372</v>
      </c>
      <c r="C150" s="66">
        <v>1</v>
      </c>
    </row>
    <row r="151" spans="1:3" x14ac:dyDescent="0.2">
      <c r="A151" s="65">
        <v>309100</v>
      </c>
      <c r="B151" s="65" t="s">
        <v>372</v>
      </c>
      <c r="C151" s="66">
        <v>4</v>
      </c>
    </row>
    <row r="152" spans="1:3" x14ac:dyDescent="0.2">
      <c r="A152" s="65">
        <v>309000</v>
      </c>
      <c r="B152" s="65" t="s">
        <v>372</v>
      </c>
      <c r="C152" s="66">
        <v>1</v>
      </c>
    </row>
    <row r="153" spans="1:3" x14ac:dyDescent="0.2">
      <c r="A153" s="65">
        <v>303500</v>
      </c>
      <c r="B153" s="65" t="s">
        <v>372</v>
      </c>
      <c r="C153" s="66">
        <v>2</v>
      </c>
    </row>
    <row r="154" spans="1:3" x14ac:dyDescent="0.2">
      <c r="A154" s="65">
        <v>303600</v>
      </c>
      <c r="B154" s="65" t="s">
        <v>372</v>
      </c>
      <c r="C154" s="66">
        <v>2</v>
      </c>
    </row>
    <row r="155" spans="1:3" x14ac:dyDescent="0.2">
      <c r="A155" s="65">
        <v>340410</v>
      </c>
      <c r="B155" s="65" t="s">
        <v>372</v>
      </c>
      <c r="C155" s="66">
        <v>0.5</v>
      </c>
    </row>
    <row r="156" spans="1:3" x14ac:dyDescent="0.2">
      <c r="A156" s="65">
        <v>370600</v>
      </c>
      <c r="B156" s="65" t="s">
        <v>372</v>
      </c>
      <c r="C156" s="66">
        <v>0.33</v>
      </c>
    </row>
    <row r="157" spans="1:3" x14ac:dyDescent="0.2">
      <c r="A157" s="65">
        <v>344500</v>
      </c>
      <c r="B157" s="65" t="s">
        <v>372</v>
      </c>
      <c r="C157" s="66">
        <v>0.33</v>
      </c>
    </row>
    <row r="158" spans="1:3" x14ac:dyDescent="0.2">
      <c r="A158" s="65">
        <v>300060</v>
      </c>
      <c r="B158" s="65" t="s">
        <v>372</v>
      </c>
      <c r="C158" s="66">
        <v>1</v>
      </c>
    </row>
    <row r="159" spans="1:3" x14ac:dyDescent="0.2">
      <c r="A159" s="65">
        <v>304000</v>
      </c>
      <c r="B159" s="65" t="s">
        <v>373</v>
      </c>
      <c r="C159" s="66">
        <v>1</v>
      </c>
    </row>
    <row r="160" spans="1:3" x14ac:dyDescent="0.2">
      <c r="A160" s="65">
        <v>399798</v>
      </c>
      <c r="B160" s="65" t="s">
        <v>462</v>
      </c>
      <c r="C160" s="66">
        <v>1</v>
      </c>
    </row>
    <row r="161" spans="1:3" x14ac:dyDescent="0.2">
      <c r="A161" s="65">
        <v>399516</v>
      </c>
      <c r="B161" s="65" t="s">
        <v>462</v>
      </c>
      <c r="C161" s="66">
        <v>1</v>
      </c>
    </row>
    <row r="162" spans="1:3" x14ac:dyDescent="0.2">
      <c r="A162" s="65">
        <v>399517</v>
      </c>
      <c r="B162" s="65" t="s">
        <v>462</v>
      </c>
      <c r="C162" s="66">
        <v>1</v>
      </c>
    </row>
    <row r="163" spans="1:3" x14ac:dyDescent="0.2">
      <c r="A163" s="65">
        <v>396920</v>
      </c>
      <c r="B163" s="65" t="s">
        <v>462</v>
      </c>
      <c r="C163" s="66">
        <v>1</v>
      </c>
    </row>
    <row r="164" spans="1:3" x14ac:dyDescent="0.2">
      <c r="A164" s="94">
        <v>370080</v>
      </c>
      <c r="B164" s="65">
        <f>A164</f>
        <v>370080</v>
      </c>
      <c r="C164" s="66">
        <v>1</v>
      </c>
    </row>
    <row r="165" spans="1:3" x14ac:dyDescent="0.2">
      <c r="A165" s="94">
        <v>370020</v>
      </c>
      <c r="B165" s="65">
        <f>A165</f>
        <v>370020</v>
      </c>
      <c r="C165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15"/>
  <sheetViews>
    <sheetView topLeftCell="A46" zoomScale="90" zoomScaleNormal="90" workbookViewId="0">
      <selection activeCell="B28" sqref="B28"/>
    </sheetView>
  </sheetViews>
  <sheetFormatPr defaultColWidth="9.140625" defaultRowHeight="14.25" x14ac:dyDescent="0.25"/>
  <cols>
    <col min="1" max="1" width="9" style="108" customWidth="1"/>
    <col min="2" max="2" width="76.5703125" style="108" customWidth="1"/>
    <col min="3" max="3" width="12.7109375" style="108" bestFit="1" customWidth="1"/>
    <col min="4" max="4" width="13.28515625" style="108" customWidth="1"/>
    <col min="5" max="5" width="9.140625" style="111"/>
    <col min="6" max="6" width="11.5703125" style="107" customWidth="1"/>
    <col min="7" max="7" width="49.7109375" style="107" customWidth="1"/>
    <col min="8" max="8" width="16.42578125" style="107" customWidth="1"/>
    <col min="9" max="11" width="9.140625" style="107"/>
    <col min="12" max="12" width="11.28515625" style="107" bestFit="1" customWidth="1"/>
    <col min="13" max="14" width="9.140625" style="107"/>
    <col min="15" max="15" width="13.140625" style="107" bestFit="1" customWidth="1"/>
    <col min="16" max="16" width="9.5703125" style="107" bestFit="1" customWidth="1"/>
    <col min="17" max="17" width="11.85546875" style="107" bestFit="1" customWidth="1"/>
    <col min="18" max="19" width="9.140625" style="107"/>
    <col min="20" max="21" width="11.7109375" style="107" bestFit="1" customWidth="1"/>
    <col min="22" max="16384" width="9.140625" style="111"/>
  </cols>
  <sheetData>
    <row r="1" spans="1:22" ht="15" x14ac:dyDescent="0.25">
      <c r="A1" s="246" t="s">
        <v>470</v>
      </c>
      <c r="B1" s="246"/>
      <c r="C1" s="111"/>
      <c r="D1" s="111"/>
    </row>
    <row r="2" spans="1:22" ht="15" x14ac:dyDescent="0.25">
      <c r="A2" s="89"/>
      <c r="B2" s="89"/>
      <c r="C2" s="111"/>
      <c r="D2" s="111"/>
    </row>
    <row r="3" spans="1:22" ht="15" customHeight="1" x14ac:dyDescent="0.25">
      <c r="A3" s="112"/>
      <c r="B3" s="112" t="s">
        <v>387</v>
      </c>
      <c r="C3" s="188">
        <v>1518</v>
      </c>
      <c r="D3" s="189"/>
    </row>
    <row r="4" spans="1:22" x14ac:dyDescent="0.25">
      <c r="A4" s="112"/>
      <c r="B4" s="112" t="s">
        <v>388</v>
      </c>
      <c r="C4" s="190">
        <v>1.7747999999999999</v>
      </c>
      <c r="D4" s="189"/>
    </row>
    <row r="5" spans="1:22" x14ac:dyDescent="0.25">
      <c r="A5" s="112"/>
      <c r="B5" s="112" t="s">
        <v>378</v>
      </c>
      <c r="C5" s="190">
        <v>0.06</v>
      </c>
      <c r="D5" s="189"/>
    </row>
    <row r="6" spans="1:22" x14ac:dyDescent="0.25">
      <c r="A6" s="112"/>
      <c r="B6" s="112" t="s">
        <v>382</v>
      </c>
      <c r="C6" s="191">
        <v>4.26</v>
      </c>
      <c r="D6" s="189">
        <v>0.28999999999999998</v>
      </c>
    </row>
    <row r="7" spans="1:22" x14ac:dyDescent="0.25">
      <c r="A7" s="112"/>
      <c r="B7" s="112" t="s">
        <v>383</v>
      </c>
      <c r="C7" s="191">
        <v>5.9989999999999997</v>
      </c>
      <c r="D7" s="189">
        <v>0.15</v>
      </c>
    </row>
    <row r="8" spans="1:22" x14ac:dyDescent="0.25">
      <c r="A8" s="112"/>
      <c r="B8" s="112" t="s">
        <v>384</v>
      </c>
      <c r="C8" s="191">
        <v>6.2519999999999998</v>
      </c>
      <c r="D8" s="189">
        <v>0.245</v>
      </c>
    </row>
    <row r="9" spans="1:22" x14ac:dyDescent="0.25">
      <c r="A9" s="112"/>
      <c r="B9" s="112" t="s">
        <v>385</v>
      </c>
      <c r="C9" s="191">
        <v>1.095</v>
      </c>
      <c r="D9" s="189">
        <v>2.4500000000000001E-2</v>
      </c>
    </row>
    <row r="10" spans="1:22" x14ac:dyDescent="0.25">
      <c r="A10" s="112"/>
      <c r="B10" s="112" t="s">
        <v>386</v>
      </c>
      <c r="C10" s="191">
        <v>5.37</v>
      </c>
      <c r="D10" s="189"/>
    </row>
    <row r="11" spans="1:22" ht="15" x14ac:dyDescent="0.25">
      <c r="A11" s="112"/>
      <c r="B11" s="89"/>
      <c r="C11" s="111"/>
      <c r="D11" s="111"/>
    </row>
    <row r="12" spans="1:22" ht="15" x14ac:dyDescent="0.25">
      <c r="A12" s="139" t="s">
        <v>30</v>
      </c>
      <c r="B12" s="140" t="s">
        <v>31</v>
      </c>
      <c r="C12" s="121" t="s">
        <v>190</v>
      </c>
      <c r="D12" s="121" t="s">
        <v>191</v>
      </c>
      <c r="F12" s="106" t="s">
        <v>30</v>
      </c>
      <c r="G12" s="106" t="s">
        <v>31</v>
      </c>
      <c r="H12" s="106" t="s">
        <v>358</v>
      </c>
      <c r="I12" s="106" t="s">
        <v>359</v>
      </c>
      <c r="J12" s="106" t="s">
        <v>360</v>
      </c>
      <c r="K12" s="106" t="s">
        <v>361</v>
      </c>
      <c r="L12" s="106" t="s">
        <v>362</v>
      </c>
      <c r="M12" s="106" t="s">
        <v>363</v>
      </c>
      <c r="N12" s="106" t="s">
        <v>364</v>
      </c>
      <c r="O12" s="106" t="s">
        <v>365</v>
      </c>
      <c r="P12" s="106" t="s">
        <v>366</v>
      </c>
      <c r="Q12" s="106" t="s">
        <v>367</v>
      </c>
      <c r="R12" s="106" t="s">
        <v>368</v>
      </c>
      <c r="S12" s="106" t="s">
        <v>369</v>
      </c>
      <c r="T12" s="106" t="s">
        <v>370</v>
      </c>
      <c r="U12" s="106" t="s">
        <v>371</v>
      </c>
    </row>
    <row r="13" spans="1:22" x14ac:dyDescent="0.25">
      <c r="A13" s="174">
        <v>303280</v>
      </c>
      <c r="B13" s="173" t="s">
        <v>192</v>
      </c>
      <c r="C13" s="211">
        <v>5.34</v>
      </c>
      <c r="D13" s="211">
        <v>3.73</v>
      </c>
      <c r="F13" s="177" t="s">
        <v>372</v>
      </c>
      <c r="G13" s="178" t="s">
        <v>476</v>
      </c>
      <c r="H13" s="177"/>
      <c r="I13" s="177" t="s">
        <v>238</v>
      </c>
      <c r="J13" s="177" t="s">
        <v>238</v>
      </c>
      <c r="K13" s="177" t="s">
        <v>238</v>
      </c>
      <c r="L13" s="177" t="s">
        <v>238</v>
      </c>
      <c r="M13" s="177" t="s">
        <v>238</v>
      </c>
      <c r="N13" s="177" t="s">
        <v>238</v>
      </c>
      <c r="O13" s="177" t="s">
        <v>238</v>
      </c>
      <c r="P13" s="177" t="s">
        <v>238</v>
      </c>
      <c r="Q13" s="177" t="s">
        <v>238</v>
      </c>
      <c r="R13" s="177" t="s">
        <v>238</v>
      </c>
      <c r="S13" s="177" t="s">
        <v>238</v>
      </c>
      <c r="T13" s="179">
        <f>ROUND(T14+T15,2)</f>
        <v>434.55</v>
      </c>
      <c r="U13" s="179">
        <f>ROUND(U14+U15,2)</f>
        <v>112.1</v>
      </c>
      <c r="V13" s="208">
        <v>9665</v>
      </c>
    </row>
    <row r="14" spans="1:22" x14ac:dyDescent="0.25">
      <c r="A14" s="174">
        <v>370070</v>
      </c>
      <c r="B14" s="173" t="s">
        <v>401</v>
      </c>
      <c r="C14" s="212">
        <v>145.87</v>
      </c>
      <c r="D14" s="213">
        <v>38.72</v>
      </c>
      <c r="F14" s="107" t="s">
        <v>374</v>
      </c>
      <c r="G14" s="185" t="s">
        <v>477</v>
      </c>
      <c r="I14" s="107">
        <v>276</v>
      </c>
      <c r="J14" s="107">
        <v>7</v>
      </c>
      <c r="K14" s="110">
        <v>2000</v>
      </c>
      <c r="L14" s="109">
        <v>743044.99659999995</v>
      </c>
      <c r="M14" s="107">
        <v>0.9</v>
      </c>
      <c r="N14" s="107" t="s">
        <v>377</v>
      </c>
      <c r="O14" s="109">
        <f>(L14*(1-S14/100)*(1+$C$5)^J14)*($C$5/((1+$C$5)^J14-1))*(1/K14)</f>
        <v>39.931613665379558</v>
      </c>
      <c r="P14" s="117">
        <f>L14*M14/(K14*J14)</f>
        <v>47.767178352857144</v>
      </c>
      <c r="Q14" s="117">
        <f>$D$7*I14*$C$7</f>
        <v>248.35859999999997</v>
      </c>
      <c r="R14" s="107">
        <f>MO!E27</f>
        <v>38.67</v>
      </c>
      <c r="S14" s="110">
        <v>40</v>
      </c>
      <c r="T14" s="118">
        <f>O14+P14+Q14+R14</f>
        <v>374.72739201823669</v>
      </c>
      <c r="U14" s="118">
        <f>O14+R14</f>
        <v>78.60161366537956</v>
      </c>
    </row>
    <row r="15" spans="1:22" x14ac:dyDescent="0.25">
      <c r="A15" s="174">
        <v>370080</v>
      </c>
      <c r="B15" s="173" t="s">
        <v>402</v>
      </c>
      <c r="C15" s="212">
        <v>116.77</v>
      </c>
      <c r="D15" s="211">
        <v>9.6199999999999992</v>
      </c>
      <c r="F15" s="107" t="s">
        <v>375</v>
      </c>
      <c r="G15" s="108" t="s">
        <v>356</v>
      </c>
      <c r="I15" s="107">
        <v>0</v>
      </c>
      <c r="J15" s="107">
        <v>12</v>
      </c>
      <c r="K15" s="110">
        <v>1000</v>
      </c>
      <c r="L15" s="109">
        <v>351050</v>
      </c>
      <c r="M15" s="107">
        <v>0.9</v>
      </c>
      <c r="N15" s="107" t="s">
        <v>377</v>
      </c>
      <c r="O15" s="109">
        <f>(L15*(1-S15/100)*(1+$C$5)^J15)*($C$5/((1+$C$5)^J15-1))*(1/K15)</f>
        <v>33.497760931265553</v>
      </c>
      <c r="P15" s="117">
        <f>L15*M15/(K15*J15)</f>
        <v>26.328749999999999</v>
      </c>
      <c r="Q15" s="117">
        <f>$D$7*I15*$C$7</f>
        <v>0</v>
      </c>
      <c r="S15" s="110">
        <v>20</v>
      </c>
      <c r="T15" s="118">
        <f t="shared" ref="T15:T17" si="0">O15+P15+Q15+R15</f>
        <v>59.826510931265553</v>
      </c>
      <c r="U15" s="118">
        <f>O15+R15</f>
        <v>33.497760931265553</v>
      </c>
    </row>
    <row r="16" spans="1:22" x14ac:dyDescent="0.25">
      <c r="A16" s="174">
        <v>304100</v>
      </c>
      <c r="B16" s="173" t="s">
        <v>137</v>
      </c>
      <c r="C16" s="213">
        <v>80.099999999999994</v>
      </c>
      <c r="D16" s="213">
        <v>51.77</v>
      </c>
      <c r="F16" s="177" t="s">
        <v>373</v>
      </c>
      <c r="G16" s="178" t="s">
        <v>478</v>
      </c>
      <c r="H16" s="177"/>
      <c r="I16" s="177" t="s">
        <v>238</v>
      </c>
      <c r="J16" s="177" t="s">
        <v>238</v>
      </c>
      <c r="K16" s="177" t="s">
        <v>238</v>
      </c>
      <c r="L16" s="177" t="s">
        <v>238</v>
      </c>
      <c r="M16" s="177" t="s">
        <v>238</v>
      </c>
      <c r="N16" s="177" t="s">
        <v>238</v>
      </c>
      <c r="O16" s="177" t="s">
        <v>238</v>
      </c>
      <c r="P16" s="180" t="s">
        <v>238</v>
      </c>
      <c r="Q16" s="180" t="s">
        <v>238</v>
      </c>
      <c r="R16" s="177" t="s">
        <v>238</v>
      </c>
      <c r="S16" s="177" t="s">
        <v>238</v>
      </c>
      <c r="T16" s="179">
        <f>ROUND(T17+T18,2)</f>
        <v>482.02</v>
      </c>
      <c r="U16" s="179">
        <f>ROUND(U17+U18,2)</f>
        <v>124.13</v>
      </c>
      <c r="V16" s="208">
        <v>9666</v>
      </c>
    </row>
    <row r="17" spans="1:22" x14ac:dyDescent="0.25">
      <c r="A17" s="174">
        <v>304000</v>
      </c>
      <c r="B17" s="173" t="s">
        <v>135</v>
      </c>
      <c r="C17" s="213">
        <v>40.24</v>
      </c>
      <c r="D17" s="213">
        <v>37.75</v>
      </c>
      <c r="F17" s="107" t="s">
        <v>376</v>
      </c>
      <c r="G17" s="185" t="s">
        <v>479</v>
      </c>
      <c r="I17" s="107">
        <v>302</v>
      </c>
      <c r="J17" s="107">
        <v>7</v>
      </c>
      <c r="K17" s="110">
        <v>2000</v>
      </c>
      <c r="L17" s="109">
        <v>860102.00490000006</v>
      </c>
      <c r="M17" s="107">
        <v>0.9</v>
      </c>
      <c r="N17" s="107" t="s">
        <v>377</v>
      </c>
      <c r="O17" s="109">
        <f>(L17*(1-S17/100)*(1+$C$5)^J17)*($C$5/((1+$C$5)^J17-1))*(1/K17)</f>
        <v>46.222316454105837</v>
      </c>
      <c r="P17" s="117">
        <f>L17*M17/(K17*J17)</f>
        <v>55.292271743571433</v>
      </c>
      <c r="Q17" s="117">
        <f>$D$7*I17*$C$7</f>
        <v>271.75469999999996</v>
      </c>
      <c r="R17" s="107">
        <f>MO!E27</f>
        <v>38.67</v>
      </c>
      <c r="S17" s="110">
        <v>40</v>
      </c>
      <c r="T17" s="118">
        <f t="shared" si="0"/>
        <v>411.93928819767723</v>
      </c>
      <c r="U17" s="118">
        <f>O17+R17</f>
        <v>84.892316454105838</v>
      </c>
    </row>
    <row r="18" spans="1:22" x14ac:dyDescent="0.25">
      <c r="A18" s="209">
        <v>399502</v>
      </c>
      <c r="B18" s="173" t="s">
        <v>469</v>
      </c>
      <c r="C18" s="196"/>
      <c r="D18" s="195"/>
      <c r="F18" s="107" t="s">
        <v>376</v>
      </c>
      <c r="G18" s="108" t="s">
        <v>357</v>
      </c>
      <c r="I18" s="107">
        <v>0</v>
      </c>
      <c r="J18" s="107">
        <v>12</v>
      </c>
      <c r="K18" s="110">
        <v>1000</v>
      </c>
      <c r="L18" s="109">
        <v>411230</v>
      </c>
      <c r="M18" s="107">
        <v>0.9</v>
      </c>
      <c r="N18" s="107" t="s">
        <v>377</v>
      </c>
      <c r="O18" s="109">
        <f>(L18*(1-S18/100)*(1+$C$5)^J18)*($C$5/((1+$C$5)^J18-1))*(1/K18)</f>
        <v>39.24023423376822</v>
      </c>
      <c r="P18" s="117">
        <f>L18*M18/(K18*J18)</f>
        <v>30.84225</v>
      </c>
      <c r="Q18" s="117">
        <f>$D$7*I18*$C$7</f>
        <v>0</v>
      </c>
      <c r="S18" s="110">
        <v>20</v>
      </c>
      <c r="T18" s="118">
        <f>O18+P18+Q18+R18</f>
        <v>70.082484233768213</v>
      </c>
      <c r="U18" s="118">
        <f>O18+R18</f>
        <v>39.24023423376822</v>
      </c>
    </row>
    <row r="19" spans="1:22" x14ac:dyDescent="0.25">
      <c r="A19" s="174">
        <v>363200</v>
      </c>
      <c r="B19" s="173" t="s">
        <v>193</v>
      </c>
      <c r="C19" s="211">
        <v>9.48</v>
      </c>
      <c r="D19" s="211">
        <v>6.57</v>
      </c>
      <c r="F19" s="181" t="s">
        <v>462</v>
      </c>
      <c r="G19" s="182" t="s">
        <v>480</v>
      </c>
      <c r="H19" s="181"/>
      <c r="I19" s="181"/>
      <c r="J19" s="181"/>
      <c r="K19" s="181"/>
      <c r="L19" s="181"/>
      <c r="M19" s="181"/>
      <c r="N19" s="181"/>
      <c r="O19" s="181"/>
      <c r="P19" s="183"/>
      <c r="Q19" s="183"/>
      <c r="R19" s="181"/>
      <c r="S19" s="181"/>
      <c r="T19" s="184">
        <f>ROUND(T20+T21+T22,2)</f>
        <v>577.34</v>
      </c>
      <c r="U19" s="184">
        <f>ROUND(U20+U21+U22,2)</f>
        <v>146.34</v>
      </c>
      <c r="V19" s="208">
        <v>9018</v>
      </c>
    </row>
    <row r="20" spans="1:22" x14ac:dyDescent="0.25">
      <c r="A20" s="174">
        <v>373200</v>
      </c>
      <c r="B20" s="173" t="s">
        <v>194</v>
      </c>
      <c r="C20" s="213">
        <v>29.53</v>
      </c>
      <c r="D20" s="211">
        <v>6.67</v>
      </c>
      <c r="F20" s="107" t="s">
        <v>463</v>
      </c>
      <c r="G20" s="185" t="s">
        <v>481</v>
      </c>
      <c r="I20" s="107">
        <v>364</v>
      </c>
      <c r="J20" s="107">
        <v>7</v>
      </c>
      <c r="K20" s="110">
        <v>2000</v>
      </c>
      <c r="L20" s="109">
        <v>930566.68389999995</v>
      </c>
      <c r="M20" s="107">
        <v>0.9</v>
      </c>
      <c r="N20" s="107" t="s">
        <v>377</v>
      </c>
      <c r="O20" s="109">
        <f>(L20*(1-S20/100)*(1+$C$5)^J20)*($C$5/((1+$C$5)^J20-1))*(1/K20)</f>
        <v>50.009123917662045</v>
      </c>
      <c r="P20" s="117">
        <f>L20*M20/(K20*J20)</f>
        <v>59.822143964999995</v>
      </c>
      <c r="Q20" s="117">
        <f>$D$7*I20*$C$7</f>
        <v>327.54539999999997</v>
      </c>
      <c r="R20" s="107">
        <f>MO!E27</f>
        <v>38.67</v>
      </c>
      <c r="S20" s="110">
        <v>40</v>
      </c>
      <c r="T20" s="118">
        <f>O20+P20+Q20+R20</f>
        <v>476.04666788266201</v>
      </c>
      <c r="U20" s="118">
        <f>O20+R20</f>
        <v>88.679123917662054</v>
      </c>
    </row>
    <row r="21" spans="1:22" x14ac:dyDescent="0.25">
      <c r="A21" s="174">
        <v>340310</v>
      </c>
      <c r="B21" s="173" t="s">
        <v>195</v>
      </c>
      <c r="C21" s="213">
        <v>34.07</v>
      </c>
      <c r="D21" s="211">
        <v>6.78</v>
      </c>
      <c r="F21" s="107" t="s">
        <v>464</v>
      </c>
      <c r="G21" s="185" t="s">
        <v>465</v>
      </c>
      <c r="I21" s="107">
        <v>0</v>
      </c>
      <c r="J21" s="107">
        <v>12</v>
      </c>
      <c r="K21" s="110">
        <v>1000</v>
      </c>
      <c r="L21" s="109">
        <v>491470</v>
      </c>
      <c r="M21" s="107">
        <v>0.9</v>
      </c>
      <c r="N21" s="107" t="s">
        <v>377</v>
      </c>
      <c r="O21" s="109">
        <f>(L21*(1-S21/100)*(1+$C$5)^J21)*($C$5/((1+$C$5)^J21-1))*(1/K21)</f>
        <v>46.896865303771776</v>
      </c>
      <c r="P21" s="117">
        <f>L21*M21/(K21*J21)</f>
        <v>36.860250000000001</v>
      </c>
      <c r="Q21" s="117">
        <f>$D$7*I21*$C$7</f>
        <v>0</v>
      </c>
      <c r="S21" s="110">
        <v>20</v>
      </c>
      <c r="T21" s="118">
        <f t="shared" ref="T21:T22" si="1">O21+P21+Q21+R21</f>
        <v>83.757115303771769</v>
      </c>
      <c r="U21" s="118">
        <f t="shared" ref="U21:U22" si="2">O21+R21</f>
        <v>46.896865303771776</v>
      </c>
    </row>
    <row r="22" spans="1:22" x14ac:dyDescent="0.25">
      <c r="A22" s="174">
        <v>306000</v>
      </c>
      <c r="B22" s="173" t="s">
        <v>403</v>
      </c>
      <c r="C22" s="213">
        <v>57.61</v>
      </c>
      <c r="D22" s="213">
        <v>39.299999999999997</v>
      </c>
      <c r="F22" s="107" t="s">
        <v>466</v>
      </c>
      <c r="G22" s="185" t="s">
        <v>467</v>
      </c>
      <c r="I22" s="107">
        <v>0</v>
      </c>
      <c r="J22" s="107">
        <v>12</v>
      </c>
      <c r="K22" s="110">
        <v>1000</v>
      </c>
      <c r="L22" s="109">
        <v>90270</v>
      </c>
      <c r="M22" s="107">
        <v>0.9</v>
      </c>
      <c r="O22" s="109">
        <f>(L22*(1-S22/100)*(1+$C$5)^J22)*($C$5/((1+$C$5)^J22-1))*(1/K22)</f>
        <v>10.767137442192499</v>
      </c>
      <c r="P22" s="117">
        <f>L22*M22/(K22*J22)</f>
        <v>6.7702499999999999</v>
      </c>
      <c r="Q22" s="117">
        <f>$D$7*I22*$C$7</f>
        <v>0</v>
      </c>
      <c r="S22" s="110"/>
      <c r="T22" s="118">
        <f t="shared" si="1"/>
        <v>17.5373874421925</v>
      </c>
      <c r="U22" s="118">
        <f t="shared" si="2"/>
        <v>10.767137442192499</v>
      </c>
    </row>
    <row r="23" spans="1:22" x14ac:dyDescent="0.25">
      <c r="A23" s="174">
        <v>316060</v>
      </c>
      <c r="B23" s="173" t="s">
        <v>143</v>
      </c>
      <c r="C23" s="212">
        <v>260.63</v>
      </c>
      <c r="D23" s="213">
        <v>82.75</v>
      </c>
    </row>
    <row r="24" spans="1:22" x14ac:dyDescent="0.25">
      <c r="A24" s="174">
        <v>326060</v>
      </c>
      <c r="B24" s="173" t="s">
        <v>392</v>
      </c>
      <c r="C24" s="212">
        <v>279.93</v>
      </c>
      <c r="D24" s="213">
        <v>86.95</v>
      </c>
    </row>
    <row r="25" spans="1:22" x14ac:dyDescent="0.25">
      <c r="A25" s="174">
        <v>336060</v>
      </c>
      <c r="B25" s="173" t="s">
        <v>393</v>
      </c>
      <c r="C25" s="212">
        <v>304.77</v>
      </c>
      <c r="D25" s="213">
        <v>92.38</v>
      </c>
    </row>
    <row r="26" spans="1:22" x14ac:dyDescent="0.25">
      <c r="A26" s="174">
        <v>313180</v>
      </c>
      <c r="B26" s="173" t="s">
        <v>164</v>
      </c>
      <c r="C26" s="212">
        <v>387.68</v>
      </c>
      <c r="D26" s="212">
        <v>100.8</v>
      </c>
    </row>
    <row r="27" spans="1:22" x14ac:dyDescent="0.25">
      <c r="A27" s="174">
        <v>323180</v>
      </c>
      <c r="B27" s="173" t="s">
        <v>165</v>
      </c>
      <c r="C27" s="212">
        <v>414.88</v>
      </c>
      <c r="D27" s="212">
        <v>106.72</v>
      </c>
    </row>
    <row r="28" spans="1:22" ht="15" x14ac:dyDescent="0.25">
      <c r="A28" s="174">
        <v>333180</v>
      </c>
      <c r="B28" s="173" t="s">
        <v>166</v>
      </c>
      <c r="C28" s="212">
        <v>449.88</v>
      </c>
      <c r="D28" s="212">
        <v>114.37</v>
      </c>
      <c r="G28" s="113"/>
      <c r="H28"/>
    </row>
    <row r="29" spans="1:22" x14ac:dyDescent="0.2">
      <c r="A29" s="174"/>
      <c r="B29" s="173" t="s">
        <v>482</v>
      </c>
      <c r="C29" s="212">
        <v>390.39</v>
      </c>
      <c r="D29" s="212">
        <v>107.46</v>
      </c>
      <c r="G29" s="109"/>
      <c r="H29" s="114" t="s">
        <v>379</v>
      </c>
      <c r="M29" s="114" t="s">
        <v>390</v>
      </c>
    </row>
    <row r="30" spans="1:22" x14ac:dyDescent="0.25">
      <c r="A30" s="174">
        <v>313140</v>
      </c>
      <c r="B30" s="173" t="s">
        <v>144</v>
      </c>
      <c r="C30" s="212">
        <v>302.33</v>
      </c>
      <c r="D30" s="213">
        <v>87.16</v>
      </c>
    </row>
    <row r="31" spans="1:22" x14ac:dyDescent="0.25">
      <c r="A31" s="174">
        <v>323140</v>
      </c>
      <c r="B31" s="173" t="s">
        <v>145</v>
      </c>
      <c r="C31" s="212">
        <v>323.55</v>
      </c>
      <c r="D31" s="213">
        <v>91.78</v>
      </c>
      <c r="G31" s="116"/>
    </row>
    <row r="32" spans="1:22" x14ac:dyDescent="0.25">
      <c r="A32" s="174">
        <v>333140</v>
      </c>
      <c r="B32" s="173" t="s">
        <v>146</v>
      </c>
      <c r="C32" s="212">
        <v>350.88</v>
      </c>
      <c r="D32" s="213">
        <v>97.75</v>
      </c>
    </row>
    <row r="33" spans="1:13" ht="15" x14ac:dyDescent="0.25">
      <c r="A33" s="174">
        <v>321800</v>
      </c>
      <c r="B33" s="173" t="s">
        <v>152</v>
      </c>
      <c r="C33" s="212">
        <v>325.64</v>
      </c>
      <c r="D33" s="213">
        <v>92.7</v>
      </c>
      <c r="H33"/>
    </row>
    <row r="34" spans="1:13" x14ac:dyDescent="0.2">
      <c r="A34" s="174">
        <v>321820</v>
      </c>
      <c r="B34" s="173" t="s">
        <v>154</v>
      </c>
      <c r="C34" s="212">
        <v>326.27999999999997</v>
      </c>
      <c r="D34" s="213">
        <v>92.99</v>
      </c>
      <c r="H34" s="114" t="s">
        <v>380</v>
      </c>
      <c r="M34" s="114" t="s">
        <v>391</v>
      </c>
    </row>
    <row r="35" spans="1:13" x14ac:dyDescent="0.25">
      <c r="A35" s="174">
        <v>322140</v>
      </c>
      <c r="B35" s="173" t="s">
        <v>163</v>
      </c>
      <c r="C35" s="212">
        <v>349.24</v>
      </c>
      <c r="D35" s="213">
        <v>93.31</v>
      </c>
    </row>
    <row r="36" spans="1:13" x14ac:dyDescent="0.25">
      <c r="A36" s="174">
        <v>336090</v>
      </c>
      <c r="B36" s="173" t="s">
        <v>159</v>
      </c>
      <c r="C36" s="212">
        <v>362.88</v>
      </c>
      <c r="D36" s="212">
        <v>106.23</v>
      </c>
    </row>
    <row r="37" spans="1:13" x14ac:dyDescent="0.25">
      <c r="A37" s="174">
        <v>343800</v>
      </c>
      <c r="B37" s="173" t="s">
        <v>404</v>
      </c>
      <c r="C37" s="212">
        <v>373.32</v>
      </c>
      <c r="D37" s="213">
        <v>81.290000000000006</v>
      </c>
    </row>
    <row r="38" spans="1:13" x14ac:dyDescent="0.25">
      <c r="A38" s="174">
        <v>346050</v>
      </c>
      <c r="B38" s="173" t="s">
        <v>177</v>
      </c>
      <c r="C38" s="212">
        <v>242.97</v>
      </c>
      <c r="D38" s="213">
        <v>79.540000000000006</v>
      </c>
    </row>
    <row r="39" spans="1:13" x14ac:dyDescent="0.2">
      <c r="A39" s="174">
        <v>346010</v>
      </c>
      <c r="B39" s="173" t="s">
        <v>179</v>
      </c>
      <c r="C39" s="212">
        <v>284</v>
      </c>
      <c r="D39" s="213">
        <v>76.89</v>
      </c>
      <c r="H39" s="114" t="s">
        <v>381</v>
      </c>
    </row>
    <row r="40" spans="1:13" x14ac:dyDescent="0.25">
      <c r="A40" s="174">
        <v>341800</v>
      </c>
      <c r="B40" s="173" t="s">
        <v>180</v>
      </c>
      <c r="C40" s="212">
        <v>287.12</v>
      </c>
      <c r="D40" s="213">
        <v>80.010000000000005</v>
      </c>
    </row>
    <row r="41" spans="1:13" x14ac:dyDescent="0.25">
      <c r="A41" s="174">
        <v>342300</v>
      </c>
      <c r="B41" s="173" t="s">
        <v>405</v>
      </c>
      <c r="C41" s="212">
        <v>247.25</v>
      </c>
      <c r="D41" s="213">
        <v>76.19</v>
      </c>
    </row>
    <row r="42" spans="1:13" x14ac:dyDescent="0.25">
      <c r="A42" s="174">
        <v>326280</v>
      </c>
      <c r="B42" s="173" t="s">
        <v>406</v>
      </c>
      <c r="C42" s="212">
        <v>348.88</v>
      </c>
      <c r="D42" s="212">
        <v>101.7</v>
      </c>
      <c r="H42" s="111"/>
      <c r="I42" s="111"/>
    </row>
    <row r="43" spans="1:13" x14ac:dyDescent="0.25">
      <c r="A43" s="174">
        <v>346020</v>
      </c>
      <c r="B43" s="173" t="s">
        <v>170</v>
      </c>
      <c r="C43" s="212">
        <v>279.74</v>
      </c>
      <c r="D43" s="213">
        <v>97.32</v>
      </c>
    </row>
    <row r="44" spans="1:13" x14ac:dyDescent="0.25">
      <c r="A44" s="174">
        <v>346090</v>
      </c>
      <c r="B44" s="173" t="s">
        <v>182</v>
      </c>
      <c r="C44" s="212">
        <v>208.07</v>
      </c>
      <c r="D44" s="213">
        <v>68.31</v>
      </c>
    </row>
    <row r="45" spans="1:13" x14ac:dyDescent="0.25">
      <c r="A45" s="174">
        <v>346000</v>
      </c>
      <c r="B45" s="173" t="s">
        <v>157</v>
      </c>
      <c r="C45" s="212">
        <v>246.68</v>
      </c>
      <c r="D45" s="213">
        <v>81.36</v>
      </c>
    </row>
    <row r="46" spans="1:13" x14ac:dyDescent="0.25">
      <c r="A46" s="174">
        <v>346080</v>
      </c>
      <c r="B46" s="173" t="s">
        <v>171</v>
      </c>
      <c r="C46" s="212">
        <v>195.78</v>
      </c>
      <c r="D46" s="213">
        <v>62.28</v>
      </c>
    </row>
    <row r="47" spans="1:13" x14ac:dyDescent="0.25">
      <c r="A47" s="174">
        <v>346220</v>
      </c>
      <c r="B47" s="173" t="s">
        <v>407</v>
      </c>
      <c r="C47" s="212">
        <v>350.79</v>
      </c>
      <c r="D47" s="212">
        <v>109.79</v>
      </c>
    </row>
    <row r="48" spans="1:13" x14ac:dyDescent="0.25">
      <c r="A48" s="174">
        <v>346030</v>
      </c>
      <c r="B48" s="173" t="s">
        <v>183</v>
      </c>
      <c r="C48" s="212">
        <v>256.35000000000002</v>
      </c>
      <c r="D48" s="213">
        <v>82.69</v>
      </c>
    </row>
    <row r="49" spans="1:4" x14ac:dyDescent="0.25">
      <c r="A49" s="174">
        <v>346060</v>
      </c>
      <c r="B49" s="173" t="s">
        <v>184</v>
      </c>
      <c r="C49" s="212">
        <v>255.58</v>
      </c>
      <c r="D49" s="213">
        <v>80.08</v>
      </c>
    </row>
    <row r="50" spans="1:4" x14ac:dyDescent="0.25">
      <c r="A50" s="174">
        <v>346070</v>
      </c>
      <c r="B50" s="173" t="s">
        <v>160</v>
      </c>
      <c r="C50" s="212">
        <v>250.42</v>
      </c>
      <c r="D50" s="213">
        <v>79.78</v>
      </c>
    </row>
    <row r="51" spans="1:4" x14ac:dyDescent="0.25">
      <c r="A51" s="174">
        <v>340030</v>
      </c>
      <c r="B51" s="173" t="s">
        <v>452</v>
      </c>
      <c r="C51" s="212">
        <v>356.01</v>
      </c>
      <c r="D51" s="212">
        <v>122.47</v>
      </c>
    </row>
    <row r="52" spans="1:4" x14ac:dyDescent="0.25">
      <c r="A52" s="174"/>
      <c r="B52" s="173" t="s">
        <v>483</v>
      </c>
      <c r="C52" s="212">
        <v>538.30999999999995</v>
      </c>
      <c r="D52" s="212">
        <v>144.46</v>
      </c>
    </row>
    <row r="53" spans="1:4" x14ac:dyDescent="0.25">
      <c r="A53" s="174">
        <v>370100</v>
      </c>
      <c r="B53" s="173" t="s">
        <v>408</v>
      </c>
      <c r="C53" s="212">
        <v>167.63</v>
      </c>
      <c r="D53" s="213">
        <v>51.33</v>
      </c>
    </row>
    <row r="54" spans="1:4" x14ac:dyDescent="0.25">
      <c r="A54" s="174">
        <v>370140</v>
      </c>
      <c r="B54" s="173" t="s">
        <v>409</v>
      </c>
      <c r="C54" s="212">
        <v>138.53</v>
      </c>
      <c r="D54" s="213">
        <v>22.23</v>
      </c>
    </row>
    <row r="55" spans="1:4" x14ac:dyDescent="0.25">
      <c r="A55" s="174">
        <v>320550</v>
      </c>
      <c r="B55" s="173" t="s">
        <v>410</v>
      </c>
      <c r="C55" s="212">
        <v>319.57</v>
      </c>
      <c r="D55" s="212">
        <v>121.97</v>
      </c>
    </row>
    <row r="56" spans="1:4" x14ac:dyDescent="0.25">
      <c r="A56" s="174">
        <v>319300</v>
      </c>
      <c r="B56" s="173" t="s">
        <v>35</v>
      </c>
      <c r="C56" s="212">
        <v>303.61</v>
      </c>
      <c r="D56" s="212">
        <v>113.82</v>
      </c>
    </row>
    <row r="57" spans="1:4" x14ac:dyDescent="0.25">
      <c r="A57" s="174">
        <v>329300</v>
      </c>
      <c r="B57" s="173" t="s">
        <v>37</v>
      </c>
      <c r="C57" s="212">
        <v>338.09</v>
      </c>
      <c r="D57" s="212">
        <v>122.26</v>
      </c>
    </row>
    <row r="58" spans="1:4" x14ac:dyDescent="0.25">
      <c r="A58" s="174">
        <v>339300</v>
      </c>
      <c r="B58" s="173" t="s">
        <v>38</v>
      </c>
      <c r="C58" s="212">
        <v>398.71</v>
      </c>
      <c r="D58" s="212">
        <v>133.57</v>
      </c>
    </row>
    <row r="59" spans="1:4" x14ac:dyDescent="0.25">
      <c r="A59" s="174">
        <v>319660</v>
      </c>
      <c r="B59" s="173" t="s">
        <v>411</v>
      </c>
      <c r="C59" s="212">
        <v>515.12</v>
      </c>
      <c r="D59" s="212">
        <v>193.26</v>
      </c>
    </row>
    <row r="60" spans="1:4" x14ac:dyDescent="0.25">
      <c r="A60" s="174">
        <v>329660</v>
      </c>
      <c r="B60" s="173" t="s">
        <v>412</v>
      </c>
      <c r="C60" s="212">
        <v>567.84</v>
      </c>
      <c r="D60" s="212">
        <v>210.63</v>
      </c>
    </row>
    <row r="61" spans="1:4" x14ac:dyDescent="0.25">
      <c r="A61" s="174">
        <v>339660</v>
      </c>
      <c r="B61" s="173" t="s">
        <v>413</v>
      </c>
      <c r="C61" s="212">
        <v>678.25</v>
      </c>
      <c r="D61" s="212">
        <v>233.89</v>
      </c>
    </row>
    <row r="62" spans="1:4" x14ac:dyDescent="0.25">
      <c r="A62" s="174">
        <v>306010</v>
      </c>
      <c r="B62" s="173" t="s">
        <v>43</v>
      </c>
      <c r="C62" s="212">
        <v>445.2</v>
      </c>
      <c r="D62" s="212">
        <v>326.77</v>
      </c>
    </row>
    <row r="63" spans="1:4" x14ac:dyDescent="0.25">
      <c r="A63" s="174">
        <v>301800</v>
      </c>
      <c r="B63" s="173" t="s">
        <v>196</v>
      </c>
      <c r="C63" s="211">
        <v>0.36</v>
      </c>
      <c r="D63" s="211">
        <v>0.25</v>
      </c>
    </row>
    <row r="64" spans="1:4" x14ac:dyDescent="0.25">
      <c r="A64" s="174">
        <v>310030</v>
      </c>
      <c r="B64" s="173" t="s">
        <v>44</v>
      </c>
      <c r="C64" s="212">
        <v>109.72</v>
      </c>
      <c r="D64" s="213">
        <v>92.01</v>
      </c>
    </row>
    <row r="65" spans="1:4" x14ac:dyDescent="0.25">
      <c r="A65" s="174">
        <v>300125</v>
      </c>
      <c r="B65" s="173" t="s">
        <v>394</v>
      </c>
      <c r="C65" s="212">
        <v>780.62</v>
      </c>
      <c r="D65" s="212">
        <v>269.52</v>
      </c>
    </row>
    <row r="66" spans="1:4" x14ac:dyDescent="0.25">
      <c r="A66" s="174">
        <v>340200</v>
      </c>
      <c r="B66" s="173" t="s">
        <v>197</v>
      </c>
      <c r="C66" s="213">
        <v>39.65</v>
      </c>
      <c r="D66" s="213">
        <v>30.05</v>
      </c>
    </row>
    <row r="67" spans="1:4" x14ac:dyDescent="0.25">
      <c r="A67" s="174">
        <v>340800</v>
      </c>
      <c r="B67" s="173" t="s">
        <v>198</v>
      </c>
      <c r="C67" s="213">
        <v>54.43</v>
      </c>
      <c r="D67" s="211">
        <v>8.7799999999999994</v>
      </c>
    </row>
    <row r="68" spans="1:4" x14ac:dyDescent="0.25">
      <c r="A68" s="174">
        <v>341200</v>
      </c>
      <c r="B68" s="173" t="s">
        <v>199</v>
      </c>
      <c r="C68" s="212">
        <v>109.05</v>
      </c>
      <c r="D68" s="213">
        <v>20.87</v>
      </c>
    </row>
    <row r="69" spans="1:4" x14ac:dyDescent="0.25">
      <c r="A69" s="174">
        <v>347000</v>
      </c>
      <c r="B69" s="173" t="s">
        <v>200</v>
      </c>
      <c r="C69" s="212">
        <v>293.27</v>
      </c>
      <c r="D69" s="213">
        <v>59.06</v>
      </c>
    </row>
    <row r="70" spans="1:4" x14ac:dyDescent="0.25">
      <c r="A70" s="174">
        <v>300510</v>
      </c>
      <c r="B70" s="173" t="s">
        <v>45</v>
      </c>
      <c r="C70" s="212">
        <v>737.35</v>
      </c>
      <c r="D70" s="212">
        <v>467.35</v>
      </c>
    </row>
    <row r="71" spans="1:4" x14ac:dyDescent="0.25">
      <c r="A71" s="174">
        <v>300130</v>
      </c>
      <c r="B71" s="173" t="s">
        <v>414</v>
      </c>
      <c r="C71" s="213">
        <v>13.28</v>
      </c>
      <c r="D71" s="211">
        <v>9.2799999999999994</v>
      </c>
    </row>
    <row r="72" spans="1:4" x14ac:dyDescent="0.25">
      <c r="A72" s="174">
        <v>340320</v>
      </c>
      <c r="B72" s="173" t="s">
        <v>156</v>
      </c>
      <c r="C72" s="212">
        <v>179.84</v>
      </c>
      <c r="D72" s="212">
        <v>137.30000000000001</v>
      </c>
    </row>
    <row r="73" spans="1:4" x14ac:dyDescent="0.25">
      <c r="A73" s="174">
        <v>300800</v>
      </c>
      <c r="B73" s="173" t="s">
        <v>201</v>
      </c>
      <c r="C73" s="211">
        <v>6.43</v>
      </c>
      <c r="D73" s="211">
        <v>4.57</v>
      </c>
    </row>
    <row r="74" spans="1:4" x14ac:dyDescent="0.25">
      <c r="A74" s="174">
        <v>370400</v>
      </c>
      <c r="B74" s="173" t="s">
        <v>415</v>
      </c>
      <c r="C74" s="212">
        <v>184.07</v>
      </c>
      <c r="D74" s="212">
        <v>139.43</v>
      </c>
    </row>
    <row r="75" spans="1:4" x14ac:dyDescent="0.25">
      <c r="A75" s="174">
        <v>370700</v>
      </c>
      <c r="B75" s="173" t="s">
        <v>161</v>
      </c>
      <c r="C75" s="212">
        <v>131.22</v>
      </c>
      <c r="D75" s="212">
        <v>102.27</v>
      </c>
    </row>
    <row r="76" spans="1:4" x14ac:dyDescent="0.25">
      <c r="A76" s="174">
        <v>316000</v>
      </c>
      <c r="B76" s="173" t="s">
        <v>175</v>
      </c>
      <c r="C76" s="213">
        <v>52.96</v>
      </c>
      <c r="D76" s="213">
        <v>13.62</v>
      </c>
    </row>
    <row r="77" spans="1:4" x14ac:dyDescent="0.25">
      <c r="A77" s="174">
        <v>370150</v>
      </c>
      <c r="B77" s="173" t="s">
        <v>167</v>
      </c>
      <c r="C77" s="212">
        <v>267.83999999999997</v>
      </c>
      <c r="D77" s="213">
        <v>94.74</v>
      </c>
    </row>
    <row r="78" spans="1:4" x14ac:dyDescent="0.25">
      <c r="A78" s="174">
        <v>370600</v>
      </c>
      <c r="B78" s="173" t="s">
        <v>132</v>
      </c>
      <c r="C78" s="213">
        <v>88.43</v>
      </c>
      <c r="D78" s="213">
        <v>58.82</v>
      </c>
    </row>
    <row r="79" spans="1:4" x14ac:dyDescent="0.25">
      <c r="A79" s="174">
        <v>311500</v>
      </c>
      <c r="B79" s="173" t="s">
        <v>55</v>
      </c>
      <c r="C79" s="212">
        <v>208.83</v>
      </c>
      <c r="D79" s="213">
        <v>87.49</v>
      </c>
    </row>
    <row r="80" spans="1:4" x14ac:dyDescent="0.25">
      <c r="A80" s="174">
        <v>321500</v>
      </c>
      <c r="B80" s="173" t="s">
        <v>56</v>
      </c>
      <c r="C80" s="212">
        <v>224.47</v>
      </c>
      <c r="D80" s="213">
        <v>92.98</v>
      </c>
    </row>
    <row r="81" spans="1:4" x14ac:dyDescent="0.25">
      <c r="A81" s="174">
        <v>331500</v>
      </c>
      <c r="B81" s="173" t="s">
        <v>57</v>
      </c>
      <c r="C81" s="212">
        <v>257.98</v>
      </c>
      <c r="D81" s="212">
        <v>100.32</v>
      </c>
    </row>
    <row r="82" spans="1:4" x14ac:dyDescent="0.25">
      <c r="A82" s="174">
        <v>313200</v>
      </c>
      <c r="B82" s="173" t="s">
        <v>46</v>
      </c>
      <c r="C82" s="212">
        <v>294.54000000000002</v>
      </c>
      <c r="D82" s="212">
        <v>117.1</v>
      </c>
    </row>
    <row r="83" spans="1:4" x14ac:dyDescent="0.25">
      <c r="A83" s="174">
        <v>323200</v>
      </c>
      <c r="B83" s="173" t="s">
        <v>47</v>
      </c>
      <c r="C83" s="212">
        <v>319.64999999999998</v>
      </c>
      <c r="D83" s="212">
        <v>125.91</v>
      </c>
    </row>
    <row r="84" spans="1:4" x14ac:dyDescent="0.25">
      <c r="A84" s="174">
        <v>333200</v>
      </c>
      <c r="B84" s="173" t="s">
        <v>48</v>
      </c>
      <c r="C84" s="212">
        <v>373.49</v>
      </c>
      <c r="D84" s="212">
        <v>137.71</v>
      </c>
    </row>
    <row r="85" spans="1:4" x14ac:dyDescent="0.25">
      <c r="A85" s="174">
        <v>313300</v>
      </c>
      <c r="B85" s="173" t="s">
        <v>49</v>
      </c>
      <c r="C85" s="212">
        <v>482.31</v>
      </c>
      <c r="D85" s="212">
        <v>159.26</v>
      </c>
    </row>
    <row r="86" spans="1:4" x14ac:dyDescent="0.25">
      <c r="A86" s="174">
        <v>323300</v>
      </c>
      <c r="B86" s="173" t="s">
        <v>50</v>
      </c>
      <c r="C86" s="212">
        <v>520.95000000000005</v>
      </c>
      <c r="D86" s="212">
        <v>172.82</v>
      </c>
    </row>
    <row r="87" spans="1:4" x14ac:dyDescent="0.25">
      <c r="A87" s="174">
        <v>333300</v>
      </c>
      <c r="B87" s="173" t="s">
        <v>51</v>
      </c>
      <c r="C87" s="212">
        <v>603.72</v>
      </c>
      <c r="D87" s="212">
        <v>190.96</v>
      </c>
    </row>
    <row r="88" spans="1:4" x14ac:dyDescent="0.25">
      <c r="A88" s="174">
        <v>320800</v>
      </c>
      <c r="B88" s="173" t="s">
        <v>416</v>
      </c>
      <c r="C88" s="212">
        <v>234.68</v>
      </c>
      <c r="D88" s="212">
        <v>110.18</v>
      </c>
    </row>
    <row r="89" spans="1:4" x14ac:dyDescent="0.25">
      <c r="A89" s="174">
        <v>330800</v>
      </c>
      <c r="B89" s="173" t="s">
        <v>417</v>
      </c>
      <c r="C89" s="212">
        <v>278.81</v>
      </c>
      <c r="D89" s="212">
        <v>119.85</v>
      </c>
    </row>
    <row r="90" spans="1:4" x14ac:dyDescent="0.25">
      <c r="A90" s="174">
        <v>310800</v>
      </c>
      <c r="B90" s="173" t="s">
        <v>418</v>
      </c>
      <c r="C90" s="212">
        <v>214.09</v>
      </c>
      <c r="D90" s="212">
        <v>102.95</v>
      </c>
    </row>
    <row r="91" spans="1:4" x14ac:dyDescent="0.25">
      <c r="A91" s="174">
        <v>370060</v>
      </c>
      <c r="B91" s="173" t="s">
        <v>148</v>
      </c>
      <c r="C91" s="212">
        <v>131.88999999999999</v>
      </c>
      <c r="D91" s="213">
        <v>65.28</v>
      </c>
    </row>
    <row r="92" spans="1:4" x14ac:dyDescent="0.25">
      <c r="A92" s="174">
        <v>370040</v>
      </c>
      <c r="B92" s="173" t="s">
        <v>176</v>
      </c>
      <c r="C92" s="212">
        <v>146.72</v>
      </c>
      <c r="D92" s="213">
        <v>72.05</v>
      </c>
    </row>
    <row r="93" spans="1:4" x14ac:dyDescent="0.25">
      <c r="A93" s="174">
        <v>390200</v>
      </c>
      <c r="B93" s="173" t="s">
        <v>59</v>
      </c>
      <c r="C93" s="212">
        <v>262.39</v>
      </c>
      <c r="D93" s="212">
        <v>160.38999999999999</v>
      </c>
    </row>
    <row r="94" spans="1:4" x14ac:dyDescent="0.25">
      <c r="A94" s="174">
        <v>390100</v>
      </c>
      <c r="B94" s="173" t="s">
        <v>60</v>
      </c>
      <c r="C94" s="213">
        <v>47.15</v>
      </c>
      <c r="D94" s="213">
        <v>35.090000000000003</v>
      </c>
    </row>
    <row r="95" spans="1:4" x14ac:dyDescent="0.25">
      <c r="A95" s="174">
        <v>300010</v>
      </c>
      <c r="B95" s="173" t="s">
        <v>173</v>
      </c>
      <c r="C95" s="211">
        <v>3.89</v>
      </c>
      <c r="D95" s="211">
        <v>2.72</v>
      </c>
    </row>
    <row r="96" spans="1:4" x14ac:dyDescent="0.25">
      <c r="A96" s="174">
        <v>351500</v>
      </c>
      <c r="B96" s="173" t="s">
        <v>419</v>
      </c>
      <c r="C96" s="214">
        <v>1239.07</v>
      </c>
      <c r="D96" s="212">
        <v>563.34</v>
      </c>
    </row>
    <row r="97" spans="1:4" x14ac:dyDescent="0.25">
      <c r="A97" s="174">
        <v>351000</v>
      </c>
      <c r="B97" s="173" t="s">
        <v>454</v>
      </c>
      <c r="C97" s="212">
        <v>732.33</v>
      </c>
      <c r="D97" s="212">
        <v>319.31</v>
      </c>
    </row>
    <row r="98" spans="1:4" x14ac:dyDescent="0.25">
      <c r="A98" s="174">
        <v>352000</v>
      </c>
      <c r="B98" s="173" t="s">
        <v>63</v>
      </c>
      <c r="C98" s="214">
        <v>1904.58</v>
      </c>
      <c r="D98" s="212">
        <v>752.47</v>
      </c>
    </row>
    <row r="99" spans="1:4" x14ac:dyDescent="0.25">
      <c r="A99" s="174">
        <v>371200</v>
      </c>
      <c r="B99" s="173" t="s">
        <v>202</v>
      </c>
      <c r="C99" s="211">
        <v>0.26</v>
      </c>
      <c r="D99" s="211">
        <v>0.19</v>
      </c>
    </row>
    <row r="100" spans="1:4" x14ac:dyDescent="0.25">
      <c r="A100" s="174">
        <v>344000</v>
      </c>
      <c r="B100" s="173" t="s">
        <v>420</v>
      </c>
      <c r="C100" s="212">
        <v>106.25</v>
      </c>
      <c r="D100" s="213">
        <v>20.8</v>
      </c>
    </row>
    <row r="101" spans="1:4" x14ac:dyDescent="0.25">
      <c r="A101" s="174">
        <v>300240</v>
      </c>
      <c r="B101" s="173" t="s">
        <v>203</v>
      </c>
      <c r="C101" s="211">
        <v>6.52</v>
      </c>
      <c r="D101" s="211">
        <v>4.5599999999999996</v>
      </c>
    </row>
    <row r="102" spans="1:4" x14ac:dyDescent="0.25">
      <c r="A102" s="174">
        <v>340400</v>
      </c>
      <c r="B102" s="173" t="s">
        <v>204</v>
      </c>
      <c r="C102" s="213">
        <v>54.08</v>
      </c>
      <c r="D102" s="211">
        <v>8.08</v>
      </c>
    </row>
    <row r="103" spans="1:4" x14ac:dyDescent="0.25">
      <c r="A103" s="174">
        <v>340610</v>
      </c>
      <c r="B103" s="173" t="s">
        <v>205</v>
      </c>
      <c r="C103" s="213">
        <v>69.52</v>
      </c>
      <c r="D103" s="211">
        <v>8.7899999999999991</v>
      </c>
    </row>
    <row r="104" spans="1:4" x14ac:dyDescent="0.25">
      <c r="A104" s="174">
        <v>340300</v>
      </c>
      <c r="B104" s="173" t="s">
        <v>421</v>
      </c>
      <c r="C104" s="213">
        <v>20.53</v>
      </c>
      <c r="D104" s="211">
        <v>0.43</v>
      </c>
    </row>
    <row r="105" spans="1:4" x14ac:dyDescent="0.25">
      <c r="A105" s="174">
        <v>341810</v>
      </c>
      <c r="B105" s="173" t="s">
        <v>206</v>
      </c>
      <c r="C105" s="212">
        <v>172.27</v>
      </c>
      <c r="D105" s="213">
        <v>11.37</v>
      </c>
    </row>
    <row r="106" spans="1:4" x14ac:dyDescent="0.25">
      <c r="A106" s="174">
        <v>343600</v>
      </c>
      <c r="B106" s="173" t="s">
        <v>207</v>
      </c>
      <c r="C106" s="212">
        <v>450.85</v>
      </c>
      <c r="D106" s="213">
        <v>35.15</v>
      </c>
    </row>
    <row r="107" spans="1:4" x14ac:dyDescent="0.25">
      <c r="A107" s="210">
        <v>396920</v>
      </c>
      <c r="B107" s="186" t="s">
        <v>461</v>
      </c>
      <c r="C107" s="194"/>
      <c r="D107" s="195"/>
    </row>
    <row r="108" spans="1:4" x14ac:dyDescent="0.25">
      <c r="A108" s="174">
        <v>337000</v>
      </c>
      <c r="B108" s="173" t="s">
        <v>208</v>
      </c>
      <c r="C108" s="211">
        <v>6.64</v>
      </c>
      <c r="D108" s="211">
        <v>2.31</v>
      </c>
    </row>
    <row r="109" spans="1:4" x14ac:dyDescent="0.25">
      <c r="A109" s="174">
        <v>370440</v>
      </c>
      <c r="B109" s="173" t="s">
        <v>162</v>
      </c>
      <c r="C109" s="212">
        <v>224.85</v>
      </c>
      <c r="D109" s="212">
        <v>102.27</v>
      </c>
    </row>
    <row r="110" spans="1:4" x14ac:dyDescent="0.25">
      <c r="A110" s="174">
        <v>307050</v>
      </c>
      <c r="B110" s="173" t="s">
        <v>422</v>
      </c>
      <c r="C110" s="211">
        <v>0.97</v>
      </c>
      <c r="D110" s="211">
        <v>0.68</v>
      </c>
    </row>
    <row r="111" spans="1:4" x14ac:dyDescent="0.25">
      <c r="A111" s="174">
        <v>307000</v>
      </c>
      <c r="B111" s="173" t="s">
        <v>209</v>
      </c>
      <c r="C111" s="211">
        <v>6.73</v>
      </c>
      <c r="D111" s="211">
        <v>4.7</v>
      </c>
    </row>
    <row r="112" spans="1:4" x14ac:dyDescent="0.25">
      <c r="A112" s="174">
        <v>300050</v>
      </c>
      <c r="B112" s="173" t="s">
        <v>210</v>
      </c>
      <c r="C112" s="211">
        <v>3.09</v>
      </c>
      <c r="D112" s="211">
        <v>2.16</v>
      </c>
    </row>
    <row r="113" spans="1:4" x14ac:dyDescent="0.25">
      <c r="A113" s="174">
        <v>370020</v>
      </c>
      <c r="B113" s="173" t="s">
        <v>138</v>
      </c>
      <c r="C113" s="212">
        <v>230.23</v>
      </c>
      <c r="D113" s="213">
        <v>81.099999999999994</v>
      </c>
    </row>
    <row r="114" spans="1:4" x14ac:dyDescent="0.25">
      <c r="A114" s="174">
        <v>370030</v>
      </c>
      <c r="B114" s="173" t="s">
        <v>139</v>
      </c>
      <c r="C114" s="212">
        <v>233.31</v>
      </c>
      <c r="D114" s="213">
        <v>82.61</v>
      </c>
    </row>
    <row r="115" spans="1:4" x14ac:dyDescent="0.25">
      <c r="A115" s="174">
        <v>344500</v>
      </c>
      <c r="B115" s="173" t="s">
        <v>133</v>
      </c>
      <c r="C115" s="213">
        <v>59.39</v>
      </c>
      <c r="D115" s="213">
        <v>39.72</v>
      </c>
    </row>
    <row r="116" spans="1:4" x14ac:dyDescent="0.25">
      <c r="A116" s="174">
        <v>352500</v>
      </c>
      <c r="B116" s="173" t="s">
        <v>65</v>
      </c>
      <c r="C116" s="212">
        <v>254.78</v>
      </c>
      <c r="D116" s="212">
        <v>106.49</v>
      </c>
    </row>
    <row r="117" spans="1:4" x14ac:dyDescent="0.25">
      <c r="A117" s="174">
        <v>312000</v>
      </c>
      <c r="B117" s="173" t="s">
        <v>66</v>
      </c>
      <c r="C117" s="212">
        <v>254.78</v>
      </c>
      <c r="D117" s="212">
        <v>106.49</v>
      </c>
    </row>
    <row r="118" spans="1:4" x14ac:dyDescent="0.25">
      <c r="A118" s="174">
        <v>327530</v>
      </c>
      <c r="B118" s="173" t="s">
        <v>423</v>
      </c>
      <c r="C118" s="212">
        <v>146.15</v>
      </c>
      <c r="D118" s="213">
        <v>65.400000000000006</v>
      </c>
    </row>
    <row r="119" spans="1:4" x14ac:dyDescent="0.25">
      <c r="A119" s="174">
        <v>311400</v>
      </c>
      <c r="B119" s="173" t="s">
        <v>73</v>
      </c>
      <c r="C119" s="212">
        <v>391.84</v>
      </c>
      <c r="D119" s="212">
        <v>127.68</v>
      </c>
    </row>
    <row r="120" spans="1:4" x14ac:dyDescent="0.25">
      <c r="A120" s="174">
        <v>321400</v>
      </c>
      <c r="B120" s="173" t="s">
        <v>74</v>
      </c>
      <c r="C120" s="212">
        <v>440.06</v>
      </c>
      <c r="D120" s="212">
        <v>144.16999999999999</v>
      </c>
    </row>
    <row r="121" spans="1:4" x14ac:dyDescent="0.25">
      <c r="A121" s="174">
        <v>331400</v>
      </c>
      <c r="B121" s="173" t="s">
        <v>75</v>
      </c>
      <c r="C121" s="212">
        <v>513.86</v>
      </c>
      <c r="D121" s="212">
        <v>171.9</v>
      </c>
    </row>
    <row r="122" spans="1:4" x14ac:dyDescent="0.25">
      <c r="A122" s="174">
        <v>311200</v>
      </c>
      <c r="B122" s="173" t="s">
        <v>67</v>
      </c>
      <c r="C122" s="212">
        <v>321.49</v>
      </c>
      <c r="D122" s="212">
        <v>114.79</v>
      </c>
    </row>
    <row r="123" spans="1:4" x14ac:dyDescent="0.25">
      <c r="A123" s="174">
        <v>321200</v>
      </c>
      <c r="B123" s="173" t="s">
        <v>68</v>
      </c>
      <c r="C123" s="212">
        <v>362.73</v>
      </c>
      <c r="D123" s="212">
        <v>128.88999999999999</v>
      </c>
    </row>
    <row r="124" spans="1:4" x14ac:dyDescent="0.25">
      <c r="A124" s="174">
        <v>331200</v>
      </c>
      <c r="B124" s="173" t="s">
        <v>69</v>
      </c>
      <c r="C124" s="212">
        <v>425.85</v>
      </c>
      <c r="D124" s="212">
        <v>152.61000000000001</v>
      </c>
    </row>
    <row r="125" spans="1:4" x14ac:dyDescent="0.25">
      <c r="A125" s="174">
        <v>310400</v>
      </c>
      <c r="B125" s="173" t="s">
        <v>70</v>
      </c>
      <c r="C125" s="212">
        <v>391.84</v>
      </c>
      <c r="D125" s="212">
        <v>127.68</v>
      </c>
    </row>
    <row r="126" spans="1:4" x14ac:dyDescent="0.25">
      <c r="A126" s="174">
        <v>320400</v>
      </c>
      <c r="B126" s="173" t="s">
        <v>71</v>
      </c>
      <c r="C126" s="212">
        <v>440.06</v>
      </c>
      <c r="D126" s="212">
        <v>144.16999999999999</v>
      </c>
    </row>
    <row r="127" spans="1:4" x14ac:dyDescent="0.25">
      <c r="A127" s="174">
        <v>330400</v>
      </c>
      <c r="B127" s="173" t="s">
        <v>72</v>
      </c>
      <c r="C127" s="212">
        <v>513.86</v>
      </c>
      <c r="D127" s="212">
        <v>171.9</v>
      </c>
    </row>
    <row r="128" spans="1:4" x14ac:dyDescent="0.25">
      <c r="A128" s="174">
        <v>370250</v>
      </c>
      <c r="B128" s="173" t="s">
        <v>211</v>
      </c>
      <c r="C128" s="211">
        <v>3.61</v>
      </c>
      <c r="D128" s="211">
        <v>0.38</v>
      </c>
    </row>
    <row r="129" spans="1:4" x14ac:dyDescent="0.25">
      <c r="A129" s="174">
        <v>370200</v>
      </c>
      <c r="B129" s="173" t="s">
        <v>424</v>
      </c>
      <c r="C129" s="211">
        <v>4.8899999999999997</v>
      </c>
      <c r="D129" s="211">
        <v>0.21</v>
      </c>
    </row>
    <row r="130" spans="1:4" x14ac:dyDescent="0.25">
      <c r="A130" s="174">
        <v>323104</v>
      </c>
      <c r="B130" s="173" t="s">
        <v>395</v>
      </c>
      <c r="C130" s="214">
        <v>1069.71</v>
      </c>
      <c r="D130" s="212">
        <v>538.11</v>
      </c>
    </row>
    <row r="131" spans="1:4" x14ac:dyDescent="0.25">
      <c r="A131" s="174">
        <v>325125</v>
      </c>
      <c r="B131" s="173" t="s">
        <v>76</v>
      </c>
      <c r="C131" s="214">
        <v>1247.71</v>
      </c>
      <c r="D131" s="212">
        <v>640</v>
      </c>
    </row>
    <row r="132" spans="1:4" x14ac:dyDescent="0.25">
      <c r="A132" s="174">
        <v>307100</v>
      </c>
      <c r="B132" s="173" t="s">
        <v>212</v>
      </c>
      <c r="C132" s="211">
        <v>6.72</v>
      </c>
      <c r="D132" s="211">
        <v>4.7300000000000004</v>
      </c>
    </row>
    <row r="133" spans="1:4" x14ac:dyDescent="0.25">
      <c r="A133" s="174">
        <v>305710</v>
      </c>
      <c r="B133" s="173" t="s">
        <v>213</v>
      </c>
      <c r="C133" s="211">
        <v>6.28</v>
      </c>
      <c r="D133" s="211">
        <v>4.42</v>
      </c>
    </row>
    <row r="134" spans="1:4" x14ac:dyDescent="0.25">
      <c r="A134" s="174">
        <v>306580</v>
      </c>
      <c r="B134" s="173" t="s">
        <v>214</v>
      </c>
      <c r="C134" s="211">
        <v>7.3</v>
      </c>
      <c r="D134" s="211">
        <v>5.14</v>
      </c>
    </row>
    <row r="135" spans="1:4" x14ac:dyDescent="0.25">
      <c r="A135" s="209">
        <v>399798</v>
      </c>
      <c r="B135" s="173" t="s">
        <v>459</v>
      </c>
      <c r="C135" s="192"/>
      <c r="D135" s="193"/>
    </row>
    <row r="136" spans="1:4" x14ac:dyDescent="0.25">
      <c r="A136" s="209">
        <v>399516</v>
      </c>
      <c r="B136" s="173" t="s">
        <v>468</v>
      </c>
      <c r="C136" s="192"/>
      <c r="D136" s="193"/>
    </row>
    <row r="137" spans="1:4" x14ac:dyDescent="0.25">
      <c r="A137" s="209">
        <v>399517</v>
      </c>
      <c r="B137" s="187" t="s">
        <v>460</v>
      </c>
      <c r="C137" s="192"/>
      <c r="D137" s="193"/>
    </row>
    <row r="138" spans="1:4" x14ac:dyDescent="0.25">
      <c r="A138" s="174">
        <v>300030</v>
      </c>
      <c r="B138" s="173" t="s">
        <v>187</v>
      </c>
      <c r="C138" s="213">
        <v>31.18</v>
      </c>
      <c r="D138" s="213">
        <v>22.13</v>
      </c>
    </row>
    <row r="139" spans="1:4" x14ac:dyDescent="0.25">
      <c r="A139" s="174">
        <v>325020</v>
      </c>
      <c r="B139" s="173" t="s">
        <v>77</v>
      </c>
      <c r="C139" s="214">
        <v>1954.8</v>
      </c>
      <c r="D139" s="212">
        <v>750.03</v>
      </c>
    </row>
    <row r="140" spans="1:4" x14ac:dyDescent="0.25">
      <c r="A140" s="174">
        <v>325010</v>
      </c>
      <c r="B140" s="173" t="s">
        <v>78</v>
      </c>
      <c r="C140" s="214">
        <v>2239.2199999999998</v>
      </c>
      <c r="D140" s="212">
        <v>898.89</v>
      </c>
    </row>
    <row r="141" spans="1:4" x14ac:dyDescent="0.25">
      <c r="A141" s="174">
        <v>325200</v>
      </c>
      <c r="B141" s="173" t="s">
        <v>425</v>
      </c>
      <c r="C141" s="214">
        <v>2430.77</v>
      </c>
      <c r="D141" s="214">
        <v>1098.05</v>
      </c>
    </row>
    <row r="142" spans="1:4" x14ac:dyDescent="0.25">
      <c r="A142" s="174">
        <v>325250</v>
      </c>
      <c r="B142" s="173" t="s">
        <v>81</v>
      </c>
      <c r="C142" s="214">
        <v>2486.0300000000002</v>
      </c>
      <c r="D142" s="214">
        <v>1065.28</v>
      </c>
    </row>
    <row r="143" spans="1:4" x14ac:dyDescent="0.25">
      <c r="A143" s="174">
        <v>325150</v>
      </c>
      <c r="B143" s="173" t="s">
        <v>426</v>
      </c>
      <c r="C143" s="214">
        <v>1545.08</v>
      </c>
      <c r="D143" s="212">
        <v>685.82</v>
      </c>
    </row>
    <row r="144" spans="1:4" x14ac:dyDescent="0.25">
      <c r="A144" s="174">
        <v>371150</v>
      </c>
      <c r="B144" s="173" t="s">
        <v>82</v>
      </c>
      <c r="C144" s="213">
        <v>19.91</v>
      </c>
      <c r="D144" s="211">
        <v>3.59</v>
      </c>
    </row>
    <row r="145" spans="1:4" x14ac:dyDescent="0.25">
      <c r="A145" s="174">
        <v>312520</v>
      </c>
      <c r="B145" s="173" t="s">
        <v>83</v>
      </c>
      <c r="C145" s="212">
        <v>148.96</v>
      </c>
      <c r="D145" s="213">
        <v>59.61</v>
      </c>
    </row>
    <row r="146" spans="1:4" x14ac:dyDescent="0.25">
      <c r="A146" s="174">
        <v>322520</v>
      </c>
      <c r="B146" s="173" t="s">
        <v>84</v>
      </c>
      <c r="C146" s="212">
        <v>162.69</v>
      </c>
      <c r="D146" s="213">
        <v>62.24</v>
      </c>
    </row>
    <row r="147" spans="1:4" x14ac:dyDescent="0.25">
      <c r="A147" s="174">
        <v>332520</v>
      </c>
      <c r="B147" s="173" t="s">
        <v>85</v>
      </c>
      <c r="C147" s="212">
        <v>180.36</v>
      </c>
      <c r="D147" s="213">
        <v>65.64</v>
      </c>
    </row>
    <row r="148" spans="1:4" x14ac:dyDescent="0.25">
      <c r="A148" s="174">
        <v>342200</v>
      </c>
      <c r="B148" s="173" t="s">
        <v>215</v>
      </c>
      <c r="C148" s="211">
        <v>3.44</v>
      </c>
      <c r="D148" s="211">
        <v>0.26</v>
      </c>
    </row>
    <row r="149" spans="1:4" x14ac:dyDescent="0.25">
      <c r="A149" s="174">
        <v>340140</v>
      </c>
      <c r="B149" s="173" t="s">
        <v>86</v>
      </c>
      <c r="C149" s="212">
        <v>182.88</v>
      </c>
      <c r="D149" s="213">
        <v>74.89</v>
      </c>
    </row>
    <row r="150" spans="1:4" x14ac:dyDescent="0.25">
      <c r="A150" s="174">
        <v>340150</v>
      </c>
      <c r="B150" s="173" t="s">
        <v>87</v>
      </c>
      <c r="C150" s="212">
        <v>218.75</v>
      </c>
      <c r="D150" s="213">
        <v>86.47</v>
      </c>
    </row>
    <row r="151" spans="1:4" x14ac:dyDescent="0.25">
      <c r="A151" s="174">
        <v>345500</v>
      </c>
      <c r="B151" s="173" t="s">
        <v>88</v>
      </c>
      <c r="C151" s="212">
        <v>290</v>
      </c>
      <c r="D151" s="212">
        <v>109.36</v>
      </c>
    </row>
    <row r="152" spans="1:4" x14ac:dyDescent="0.25">
      <c r="A152" s="174">
        <v>340210</v>
      </c>
      <c r="B152" s="173" t="s">
        <v>89</v>
      </c>
      <c r="C152" s="212">
        <v>244.04</v>
      </c>
      <c r="D152" s="213">
        <v>95.13</v>
      </c>
    </row>
    <row r="153" spans="1:4" x14ac:dyDescent="0.25">
      <c r="A153" s="174">
        <v>340270</v>
      </c>
      <c r="B153" s="173" t="s">
        <v>90</v>
      </c>
      <c r="C153" s="212">
        <v>274.22000000000003</v>
      </c>
      <c r="D153" s="212">
        <v>107.56</v>
      </c>
    </row>
    <row r="154" spans="1:4" x14ac:dyDescent="0.25">
      <c r="A154" s="174">
        <v>340110</v>
      </c>
      <c r="B154" s="173" t="s">
        <v>91</v>
      </c>
      <c r="C154" s="213">
        <v>80.430000000000007</v>
      </c>
      <c r="D154" s="213">
        <v>52.67</v>
      </c>
    </row>
    <row r="155" spans="1:4" x14ac:dyDescent="0.25">
      <c r="A155" s="174">
        <v>342220</v>
      </c>
      <c r="B155" s="173" t="s">
        <v>427</v>
      </c>
      <c r="C155" s="212">
        <v>238.32</v>
      </c>
      <c r="D155" s="213">
        <v>92.42</v>
      </c>
    </row>
    <row r="156" spans="1:4" x14ac:dyDescent="0.25">
      <c r="A156" s="174">
        <v>340100</v>
      </c>
      <c r="B156" s="173" t="s">
        <v>94</v>
      </c>
      <c r="C156" s="212">
        <v>146.37</v>
      </c>
      <c r="D156" s="213">
        <v>72.569999999999993</v>
      </c>
    </row>
    <row r="157" spans="1:4" x14ac:dyDescent="0.25">
      <c r="A157" s="174">
        <v>340620</v>
      </c>
      <c r="B157" s="173" t="s">
        <v>92</v>
      </c>
      <c r="C157" s="212">
        <v>202.33</v>
      </c>
      <c r="D157" s="213">
        <v>98.5</v>
      </c>
    </row>
    <row r="158" spans="1:4" x14ac:dyDescent="0.25">
      <c r="A158" s="174">
        <v>341840</v>
      </c>
      <c r="B158" s="173" t="s">
        <v>95</v>
      </c>
      <c r="C158" s="212">
        <v>254.52</v>
      </c>
      <c r="D158" s="213">
        <v>91.41</v>
      </c>
    </row>
    <row r="159" spans="1:4" x14ac:dyDescent="0.25">
      <c r="A159" s="174">
        <v>341150</v>
      </c>
      <c r="B159" s="173" t="s">
        <v>428</v>
      </c>
      <c r="C159" s="212">
        <v>178.96</v>
      </c>
      <c r="D159" s="213">
        <v>74.2</v>
      </c>
    </row>
    <row r="160" spans="1:4" x14ac:dyDescent="0.25">
      <c r="A160" s="174">
        <v>340250</v>
      </c>
      <c r="B160" s="173" t="s">
        <v>429</v>
      </c>
      <c r="C160" s="212">
        <v>272.72000000000003</v>
      </c>
      <c r="D160" s="213">
        <v>99.63</v>
      </c>
    </row>
    <row r="161" spans="1:4" x14ac:dyDescent="0.25">
      <c r="A161" s="174">
        <v>341680</v>
      </c>
      <c r="B161" s="173" t="s">
        <v>98</v>
      </c>
      <c r="C161" s="212">
        <v>215.54</v>
      </c>
      <c r="D161" s="213">
        <v>84.66</v>
      </c>
    </row>
    <row r="162" spans="1:4" x14ac:dyDescent="0.25">
      <c r="A162" s="174">
        <v>340840</v>
      </c>
      <c r="B162" s="173" t="s">
        <v>99</v>
      </c>
      <c r="C162" s="212">
        <v>253.07</v>
      </c>
      <c r="D162" s="213">
        <v>90.59</v>
      </c>
    </row>
    <row r="163" spans="1:4" x14ac:dyDescent="0.25">
      <c r="A163" s="174">
        <v>300310</v>
      </c>
      <c r="B163" s="173" t="s">
        <v>430</v>
      </c>
      <c r="C163" s="211">
        <v>4.28</v>
      </c>
      <c r="D163" s="211">
        <v>2.99</v>
      </c>
    </row>
    <row r="164" spans="1:4" x14ac:dyDescent="0.25">
      <c r="A164" s="174">
        <v>370130</v>
      </c>
      <c r="B164" s="173" t="s">
        <v>216</v>
      </c>
      <c r="C164" s="211">
        <v>0.56000000000000005</v>
      </c>
      <c r="D164" s="211">
        <v>0.4</v>
      </c>
    </row>
    <row r="165" spans="1:4" x14ac:dyDescent="0.25">
      <c r="A165" s="174">
        <v>370120</v>
      </c>
      <c r="B165" s="173" t="s">
        <v>217</v>
      </c>
      <c r="C165" s="213">
        <v>20.48</v>
      </c>
      <c r="D165" s="211">
        <v>0.4</v>
      </c>
    </row>
    <row r="166" spans="1:4" x14ac:dyDescent="0.25">
      <c r="A166" s="174">
        <v>371000</v>
      </c>
      <c r="B166" s="173" t="s">
        <v>431</v>
      </c>
      <c r="C166" s="213">
        <v>49.84</v>
      </c>
      <c r="D166" s="213">
        <v>31.76</v>
      </c>
    </row>
    <row r="167" spans="1:4" x14ac:dyDescent="0.25">
      <c r="A167" s="174">
        <v>371050</v>
      </c>
      <c r="B167" s="173" t="s">
        <v>432</v>
      </c>
      <c r="C167" s="213">
        <v>50.74</v>
      </c>
      <c r="D167" s="213">
        <v>30.28</v>
      </c>
    </row>
    <row r="168" spans="1:4" x14ac:dyDescent="0.25">
      <c r="A168" s="174">
        <v>371100</v>
      </c>
      <c r="B168" s="173" t="s">
        <v>218</v>
      </c>
      <c r="C168" s="211">
        <v>7.0000000000000007E-2</v>
      </c>
      <c r="D168" s="211">
        <v>0.05</v>
      </c>
    </row>
    <row r="169" spans="1:4" x14ac:dyDescent="0.25">
      <c r="A169" s="174">
        <v>337050</v>
      </c>
      <c r="B169" s="173" t="s">
        <v>219</v>
      </c>
      <c r="C169" s="211">
        <v>5.48</v>
      </c>
      <c r="D169" s="211">
        <v>0.62</v>
      </c>
    </row>
    <row r="170" spans="1:4" x14ac:dyDescent="0.25">
      <c r="A170" s="174">
        <v>381000</v>
      </c>
      <c r="B170" s="173" t="s">
        <v>220</v>
      </c>
      <c r="C170" s="211">
        <v>0.11</v>
      </c>
      <c r="D170" s="211">
        <v>0.08</v>
      </c>
    </row>
    <row r="171" spans="1:4" x14ac:dyDescent="0.25">
      <c r="A171" s="174">
        <v>300060</v>
      </c>
      <c r="B171" s="173" t="s">
        <v>134</v>
      </c>
      <c r="C171" s="213">
        <v>16.25</v>
      </c>
      <c r="D171" s="211">
        <v>9.51</v>
      </c>
    </row>
    <row r="172" spans="1:4" x14ac:dyDescent="0.25">
      <c r="A172" s="174">
        <v>300220</v>
      </c>
      <c r="B172" s="173" t="s">
        <v>100</v>
      </c>
      <c r="C172" s="212">
        <v>149.91</v>
      </c>
      <c r="D172" s="213">
        <v>42.55</v>
      </c>
    </row>
    <row r="173" spans="1:4" x14ac:dyDescent="0.25">
      <c r="A173" s="174">
        <v>300100</v>
      </c>
      <c r="B173" s="173" t="s">
        <v>101</v>
      </c>
      <c r="C173" s="213">
        <v>31.86</v>
      </c>
      <c r="D173" s="213">
        <v>22.62</v>
      </c>
    </row>
    <row r="174" spans="1:4" x14ac:dyDescent="0.25">
      <c r="A174" s="174">
        <v>300200</v>
      </c>
      <c r="B174" s="173" t="s">
        <v>102</v>
      </c>
      <c r="C174" s="213">
        <v>36.93</v>
      </c>
      <c r="D174" s="213">
        <v>26.22</v>
      </c>
    </row>
    <row r="175" spans="1:4" x14ac:dyDescent="0.25">
      <c r="A175" s="174">
        <v>300210</v>
      </c>
      <c r="B175" s="173" t="s">
        <v>103</v>
      </c>
      <c r="C175" s="212">
        <v>128.07</v>
      </c>
      <c r="D175" s="213">
        <v>27.04</v>
      </c>
    </row>
    <row r="176" spans="1:4" x14ac:dyDescent="0.25">
      <c r="A176" s="174">
        <v>341000</v>
      </c>
      <c r="B176" s="173" t="s">
        <v>104</v>
      </c>
      <c r="C176" s="212">
        <v>209.1</v>
      </c>
      <c r="D176" s="213">
        <v>51.65</v>
      </c>
    </row>
    <row r="177" spans="1:4" x14ac:dyDescent="0.25">
      <c r="A177" s="174">
        <v>341100</v>
      </c>
      <c r="B177" s="173" t="s">
        <v>105</v>
      </c>
      <c r="C177" s="212">
        <v>237.51</v>
      </c>
      <c r="D177" s="213">
        <v>78.459999999999994</v>
      </c>
    </row>
    <row r="178" spans="1:4" x14ac:dyDescent="0.25">
      <c r="A178" s="174">
        <v>341500</v>
      </c>
      <c r="B178" s="173" t="s">
        <v>106</v>
      </c>
      <c r="C178" s="212">
        <v>148.31</v>
      </c>
      <c r="D178" s="213">
        <v>52.87</v>
      </c>
    </row>
    <row r="179" spans="1:4" x14ac:dyDescent="0.25">
      <c r="A179" s="174">
        <v>310650</v>
      </c>
      <c r="B179" s="173" t="s">
        <v>107</v>
      </c>
      <c r="C179" s="212">
        <v>396.78</v>
      </c>
      <c r="D179" s="212">
        <v>131.65</v>
      </c>
    </row>
    <row r="180" spans="1:4" x14ac:dyDescent="0.25">
      <c r="A180" s="174">
        <v>320650</v>
      </c>
      <c r="B180" s="173" t="s">
        <v>108</v>
      </c>
      <c r="C180" s="212">
        <v>447.72</v>
      </c>
      <c r="D180" s="212">
        <v>146.47999999999999</v>
      </c>
    </row>
    <row r="181" spans="1:4" x14ac:dyDescent="0.25">
      <c r="A181" s="174">
        <v>330650</v>
      </c>
      <c r="B181" s="173" t="s">
        <v>109</v>
      </c>
      <c r="C181" s="212">
        <v>528.02</v>
      </c>
      <c r="D181" s="212">
        <v>170.03</v>
      </c>
    </row>
    <row r="182" spans="1:4" x14ac:dyDescent="0.25">
      <c r="A182" s="174">
        <v>310080</v>
      </c>
      <c r="B182" s="173" t="s">
        <v>110</v>
      </c>
      <c r="C182" s="212">
        <v>908.15</v>
      </c>
      <c r="D182" s="212">
        <v>300.58</v>
      </c>
    </row>
    <row r="183" spans="1:4" x14ac:dyDescent="0.25">
      <c r="A183" s="174">
        <v>320080</v>
      </c>
      <c r="B183" s="173" t="s">
        <v>111</v>
      </c>
      <c r="C183" s="214">
        <v>1051.6500000000001</v>
      </c>
      <c r="D183" s="212">
        <v>342.36</v>
      </c>
    </row>
    <row r="184" spans="1:4" x14ac:dyDescent="0.25">
      <c r="A184" s="174">
        <v>330080</v>
      </c>
      <c r="B184" s="173" t="s">
        <v>112</v>
      </c>
      <c r="C184" s="214">
        <v>1277.83</v>
      </c>
      <c r="D184" s="212">
        <v>408.7</v>
      </c>
    </row>
    <row r="185" spans="1:4" x14ac:dyDescent="0.25">
      <c r="A185" s="174">
        <v>320140</v>
      </c>
      <c r="B185" s="173" t="s">
        <v>114</v>
      </c>
      <c r="C185" s="212">
        <v>386.26</v>
      </c>
      <c r="D185" s="212">
        <v>129.24</v>
      </c>
    </row>
    <row r="186" spans="1:4" x14ac:dyDescent="0.25">
      <c r="A186" s="174">
        <v>310040</v>
      </c>
      <c r="B186" s="173" t="s">
        <v>433</v>
      </c>
      <c r="C186" s="212">
        <v>319.01</v>
      </c>
      <c r="D186" s="212">
        <v>111.92</v>
      </c>
    </row>
    <row r="187" spans="1:4" x14ac:dyDescent="0.25">
      <c r="A187" s="174">
        <v>320040</v>
      </c>
      <c r="B187" s="173" t="s">
        <v>434</v>
      </c>
      <c r="C187" s="212">
        <v>359.16</v>
      </c>
      <c r="D187" s="212">
        <v>123.61</v>
      </c>
    </row>
    <row r="188" spans="1:4" x14ac:dyDescent="0.25">
      <c r="A188" s="174">
        <v>330040</v>
      </c>
      <c r="B188" s="173" t="s">
        <v>435</v>
      </c>
      <c r="C188" s="212">
        <v>422.42</v>
      </c>
      <c r="D188" s="212">
        <v>142.16999999999999</v>
      </c>
    </row>
    <row r="189" spans="1:4" x14ac:dyDescent="0.25">
      <c r="A189" s="174">
        <v>310060</v>
      </c>
      <c r="B189" s="173" t="s">
        <v>436</v>
      </c>
      <c r="C189" s="212">
        <v>392.88</v>
      </c>
      <c r="D189" s="212">
        <v>127.92</v>
      </c>
    </row>
    <row r="190" spans="1:4" x14ac:dyDescent="0.25">
      <c r="A190" s="174">
        <v>320060</v>
      </c>
      <c r="B190" s="173" t="s">
        <v>437</v>
      </c>
      <c r="C190" s="212">
        <v>441.78</v>
      </c>
      <c r="D190" s="212">
        <v>142.16</v>
      </c>
    </row>
    <row r="191" spans="1:4" x14ac:dyDescent="0.25">
      <c r="A191" s="174">
        <v>330060</v>
      </c>
      <c r="B191" s="173" t="s">
        <v>438</v>
      </c>
      <c r="C191" s="212">
        <v>518.87</v>
      </c>
      <c r="D191" s="212">
        <v>164.77</v>
      </c>
    </row>
    <row r="192" spans="1:4" x14ac:dyDescent="0.25">
      <c r="A192" s="174">
        <v>311650</v>
      </c>
      <c r="B192" s="173" t="s">
        <v>115</v>
      </c>
      <c r="C192" s="212">
        <v>377.72</v>
      </c>
      <c r="D192" s="212">
        <v>123.19</v>
      </c>
    </row>
    <row r="193" spans="1:4" x14ac:dyDescent="0.25">
      <c r="A193" s="174">
        <v>321650</v>
      </c>
      <c r="B193" s="173" t="s">
        <v>116</v>
      </c>
      <c r="C193" s="212">
        <v>424.03</v>
      </c>
      <c r="D193" s="212">
        <v>136.68</v>
      </c>
    </row>
    <row r="194" spans="1:4" x14ac:dyDescent="0.25">
      <c r="A194" s="174">
        <v>331650</v>
      </c>
      <c r="B194" s="173" t="s">
        <v>117</v>
      </c>
      <c r="C194" s="212">
        <v>497.03</v>
      </c>
      <c r="D194" s="212">
        <v>158.09</v>
      </c>
    </row>
    <row r="195" spans="1:4" x14ac:dyDescent="0.25">
      <c r="A195" s="174">
        <v>310180</v>
      </c>
      <c r="B195" s="173" t="s">
        <v>124</v>
      </c>
      <c r="C195" s="212">
        <v>908.15</v>
      </c>
      <c r="D195" s="212">
        <v>300.58</v>
      </c>
    </row>
    <row r="196" spans="1:4" x14ac:dyDescent="0.25">
      <c r="A196" s="174">
        <v>320180</v>
      </c>
      <c r="B196" s="173" t="s">
        <v>125</v>
      </c>
      <c r="C196" s="214">
        <v>1051.6500000000001</v>
      </c>
      <c r="D196" s="212">
        <v>342.36</v>
      </c>
    </row>
    <row r="197" spans="1:4" x14ac:dyDescent="0.25">
      <c r="A197" s="174">
        <v>330180</v>
      </c>
      <c r="B197" s="173" t="s">
        <v>126</v>
      </c>
      <c r="C197" s="214">
        <v>1277.83</v>
      </c>
      <c r="D197" s="212">
        <v>408.7</v>
      </c>
    </row>
    <row r="198" spans="1:4" x14ac:dyDescent="0.25">
      <c r="A198" s="174">
        <v>320700</v>
      </c>
      <c r="B198" s="173" t="s">
        <v>113</v>
      </c>
      <c r="C198" s="212">
        <v>312.45</v>
      </c>
      <c r="D198" s="212">
        <v>119.18</v>
      </c>
    </row>
    <row r="199" spans="1:4" x14ac:dyDescent="0.25">
      <c r="A199" s="174">
        <v>300140</v>
      </c>
      <c r="B199" s="173" t="s">
        <v>168</v>
      </c>
      <c r="C199" s="212">
        <v>709.52</v>
      </c>
      <c r="D199" s="212">
        <v>465.89</v>
      </c>
    </row>
    <row r="200" spans="1:4" x14ac:dyDescent="0.25">
      <c r="A200" s="174">
        <v>300170</v>
      </c>
      <c r="B200" s="173" t="s">
        <v>169</v>
      </c>
      <c r="C200" s="212">
        <v>848.08</v>
      </c>
      <c r="D200" s="212">
        <v>543.9</v>
      </c>
    </row>
    <row r="201" spans="1:4" x14ac:dyDescent="0.25">
      <c r="A201" s="174">
        <v>309100</v>
      </c>
      <c r="B201" s="173" t="s">
        <v>439</v>
      </c>
      <c r="C201" s="212">
        <v>137.63</v>
      </c>
      <c r="D201" s="212">
        <v>119.15</v>
      </c>
    </row>
    <row r="202" spans="1:4" x14ac:dyDescent="0.25">
      <c r="A202" s="174">
        <v>309000</v>
      </c>
      <c r="B202" s="173" t="s">
        <v>128</v>
      </c>
      <c r="C202" s="212">
        <v>254.51</v>
      </c>
      <c r="D202" s="213">
        <v>96.68</v>
      </c>
    </row>
    <row r="203" spans="1:4" x14ac:dyDescent="0.25">
      <c r="A203" s="174">
        <v>303500</v>
      </c>
      <c r="B203" s="173" t="s">
        <v>129</v>
      </c>
      <c r="C203" s="212">
        <v>529.05999999999995</v>
      </c>
      <c r="D203" s="212">
        <v>339.52</v>
      </c>
    </row>
    <row r="204" spans="1:4" x14ac:dyDescent="0.25">
      <c r="A204" s="174">
        <v>303600</v>
      </c>
      <c r="B204" s="173" t="s">
        <v>130</v>
      </c>
      <c r="C204" s="212">
        <v>412.53</v>
      </c>
      <c r="D204" s="212">
        <v>273.92</v>
      </c>
    </row>
    <row r="205" spans="1:4" x14ac:dyDescent="0.25">
      <c r="A205" s="174">
        <v>300090</v>
      </c>
      <c r="B205" s="173" t="s">
        <v>221</v>
      </c>
      <c r="C205" s="213">
        <v>15.15</v>
      </c>
      <c r="D205" s="213">
        <v>10.76</v>
      </c>
    </row>
    <row r="206" spans="1:4" x14ac:dyDescent="0.25">
      <c r="A206" s="174">
        <v>370000</v>
      </c>
      <c r="B206" s="173" t="s">
        <v>140</v>
      </c>
      <c r="C206" s="212">
        <v>395.05</v>
      </c>
      <c r="D206" s="212">
        <v>140.04</v>
      </c>
    </row>
    <row r="207" spans="1:4" x14ac:dyDescent="0.25">
      <c r="A207" s="174">
        <v>370110</v>
      </c>
      <c r="B207" s="173" t="s">
        <v>440</v>
      </c>
      <c r="C207" s="212">
        <v>220.05</v>
      </c>
      <c r="D207" s="213">
        <v>39.9</v>
      </c>
    </row>
    <row r="208" spans="1:4" x14ac:dyDescent="0.25">
      <c r="A208" s="174">
        <v>370160</v>
      </c>
      <c r="B208" s="173" t="s">
        <v>441</v>
      </c>
      <c r="C208" s="212">
        <v>190.95</v>
      </c>
      <c r="D208" s="213">
        <v>10.8</v>
      </c>
    </row>
    <row r="209" spans="1:4" x14ac:dyDescent="0.25">
      <c r="A209" s="174">
        <v>341450</v>
      </c>
      <c r="B209" s="173" t="s">
        <v>222</v>
      </c>
      <c r="C209" s="211">
        <v>0.56999999999999995</v>
      </c>
      <c r="D209" s="211">
        <v>0.41</v>
      </c>
    </row>
    <row r="210" spans="1:4" x14ac:dyDescent="0.25">
      <c r="A210" s="174">
        <v>370450</v>
      </c>
      <c r="B210" s="173" t="s">
        <v>223</v>
      </c>
      <c r="C210" s="211">
        <v>7.38</v>
      </c>
      <c r="D210" s="211">
        <v>0.88</v>
      </c>
    </row>
    <row r="211" spans="1:4" x14ac:dyDescent="0.25">
      <c r="A211" s="174">
        <v>340410</v>
      </c>
      <c r="B211" s="173" t="s">
        <v>131</v>
      </c>
      <c r="C211" s="216">
        <v>433.48</v>
      </c>
      <c r="D211" s="216">
        <v>207.75</v>
      </c>
    </row>
    <row r="212" spans="1:4" x14ac:dyDescent="0.25">
      <c r="A212" s="142" t="s">
        <v>372</v>
      </c>
      <c r="B212" s="141" t="str">
        <f>G13</f>
        <v>Cavalo mecânico com semirreboque com capacidade de 20 t - 276 kW</v>
      </c>
      <c r="C212" s="215">
        <f>T13</f>
        <v>434.55</v>
      </c>
      <c r="D212" s="215">
        <f>U13</f>
        <v>112.1</v>
      </c>
    </row>
    <row r="213" spans="1:4" x14ac:dyDescent="0.25">
      <c r="A213" s="143" t="s">
        <v>373</v>
      </c>
      <c r="B213" s="219" t="str">
        <f>G16</f>
        <v>Cavalo mecânico com semirreboque com capacidade de 32 t - 302 kW</v>
      </c>
      <c r="C213" s="215">
        <f>T16</f>
        <v>482.02</v>
      </c>
      <c r="D213" s="215">
        <f>U16</f>
        <v>124.13</v>
      </c>
    </row>
    <row r="214" spans="1:4" ht="28.5" x14ac:dyDescent="0.25">
      <c r="A214" s="218" t="s">
        <v>462</v>
      </c>
      <c r="B214" s="220" t="str">
        <f>G19</f>
        <v>Cavalo mecânico com dolly intermediário e semirreboque de 4 eixos com capacidade de 52 t - 364 kW</v>
      </c>
      <c r="C214" s="217">
        <f>T19</f>
        <v>577.34</v>
      </c>
      <c r="D214" s="217">
        <f>U19</f>
        <v>146.34</v>
      </c>
    </row>
    <row r="215" spans="1:4" x14ac:dyDescent="0.25">
      <c r="C215" s="111"/>
      <c r="D215" s="111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7</xdr:col>
                <xdr:colOff>0</xdr:colOff>
                <xdr:row>29</xdr:row>
                <xdr:rowOff>0</xdr:rowOff>
              </from>
              <to>
                <xdr:col>10</xdr:col>
                <xdr:colOff>428625</xdr:colOff>
                <xdr:row>31</xdr:row>
                <xdr:rowOff>66675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30" r:id="rId6">
          <objectPr defaultSize="0" autoPict="0" r:id="rId7">
            <anchor moveWithCells="1" sizeWithCells="1">
              <from>
                <xdr:col>7</xdr:col>
                <xdr:colOff>0</xdr:colOff>
                <xdr:row>34</xdr:row>
                <xdr:rowOff>0</xdr:rowOff>
              </from>
              <to>
                <xdr:col>9</xdr:col>
                <xdr:colOff>95250</xdr:colOff>
                <xdr:row>37</xdr:row>
                <xdr:rowOff>123825</xdr:rowOff>
              </to>
            </anchor>
          </objectPr>
        </oleObject>
      </mc:Choice>
      <mc:Fallback>
        <oleObject progId="Equation.3" shapeId="1030" r:id="rId6"/>
      </mc:Fallback>
    </mc:AlternateContent>
    <mc:AlternateContent xmlns:mc="http://schemas.openxmlformats.org/markup-compatibility/2006">
      <mc:Choice Requires="x14">
        <oleObject progId="Equation.3" shapeId="1034" r:id="rId8">
          <objectPr defaultSize="0" autoPict="0" r:id="rId9">
            <anchor moveWithCells="1" sizeWithCells="1">
              <from>
                <xdr:col>7</xdr:col>
                <xdr:colOff>114300</xdr:colOff>
                <xdr:row>39</xdr:row>
                <xdr:rowOff>142875</xdr:rowOff>
              </from>
              <to>
                <xdr:col>8</xdr:col>
                <xdr:colOff>457200</xdr:colOff>
                <xdr:row>40</xdr:row>
                <xdr:rowOff>161925</xdr:rowOff>
              </to>
            </anchor>
          </objectPr>
        </oleObject>
      </mc:Choice>
      <mc:Fallback>
        <oleObject progId="Equation.3" shapeId="1034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autoPict="0" r:id="rId11">
            <anchor moveWithCells="1" sizeWithCells="1">
              <from>
                <xdr:col>12</xdr:col>
                <xdr:colOff>9525</xdr:colOff>
                <xdr:row>29</xdr:row>
                <xdr:rowOff>161925</xdr:rowOff>
              </from>
              <to>
                <xdr:col>15</xdr:col>
                <xdr:colOff>57150</xdr:colOff>
                <xdr:row>30</xdr:row>
                <xdr:rowOff>161925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6" r:id="rId12">
          <objectPr defaultSize="0" autoPict="0" r:id="rId13">
            <anchor moveWithCells="1" sizeWithCells="1">
              <from>
                <xdr:col>12</xdr:col>
                <xdr:colOff>57150</xdr:colOff>
                <xdr:row>35</xdr:row>
                <xdr:rowOff>0</xdr:rowOff>
              </from>
              <to>
                <xdr:col>14</xdr:col>
                <xdr:colOff>104775</xdr:colOff>
                <xdr:row>36</xdr:row>
                <xdr:rowOff>0</xdr:rowOff>
              </to>
            </anchor>
          </objectPr>
        </oleObject>
      </mc:Choice>
      <mc:Fallback>
        <oleObject progId="Equation.3" shapeId="1036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AMK160"/>
  <sheetViews>
    <sheetView showGridLines="0" zoomScale="80" zoomScaleNormal="8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J25" sqref="J25"/>
    </sheetView>
  </sheetViews>
  <sheetFormatPr defaultColWidth="9.140625" defaultRowHeight="15" x14ac:dyDescent="0.25"/>
  <cols>
    <col min="1" max="1" width="10.28515625" style="72" customWidth="1"/>
    <col min="2" max="2" width="66.5703125" style="72" customWidth="1"/>
    <col min="3" max="4" width="12.42578125" style="72" customWidth="1"/>
    <col min="5" max="5" width="16.28515625" style="72" customWidth="1"/>
    <col min="6" max="6" width="15.85546875" style="72" customWidth="1"/>
    <col min="7" max="8" width="6.7109375" style="72" customWidth="1"/>
    <col min="9" max="9" width="19.140625" style="72" customWidth="1"/>
    <col min="10" max="10" width="17.42578125" style="72" customWidth="1"/>
    <col min="11" max="11" width="10.42578125" style="72" customWidth="1"/>
    <col min="12" max="12" width="11.5703125" style="72" customWidth="1"/>
    <col min="13" max="13" width="22.140625" style="72" customWidth="1"/>
    <col min="14" max="14" width="12.42578125" style="72" customWidth="1"/>
    <col min="15" max="15" width="20.140625" style="72" customWidth="1"/>
    <col min="16" max="1025" width="9.140625" style="72"/>
    <col min="1026" max="16384" width="9.140625" style="84"/>
  </cols>
  <sheetData>
    <row r="1" spans="1:15" ht="27.75" x14ac:dyDescent="0.25">
      <c r="A1" s="247" t="s">
        <v>400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O1" s="73"/>
    </row>
    <row r="2" spans="1:15" ht="23.25" x14ac:dyDescent="0.25">
      <c r="A2" s="248" t="s">
        <v>224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5" ht="15" customHeight="1" x14ac:dyDescent="0.25">
      <c r="A3" s="249" t="s">
        <v>471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1"/>
    </row>
    <row r="4" spans="1:15" ht="15" customHeight="1" x14ac:dyDescent="0.25">
      <c r="A4" s="86" t="s">
        <v>242</v>
      </c>
      <c r="B4" s="87"/>
      <c r="C4" s="87"/>
      <c r="D4" s="87"/>
      <c r="E4" s="87"/>
      <c r="F4" s="87"/>
      <c r="G4" s="87"/>
      <c r="H4" s="87"/>
      <c r="I4" s="87"/>
      <c r="J4" s="87"/>
      <c r="K4" s="260" t="s">
        <v>225</v>
      </c>
      <c r="L4" s="261"/>
      <c r="M4" s="74">
        <f>VLOOKUP(K4,DMT!$B$26:$F$30,4,0)</f>
        <v>197.96</v>
      </c>
      <c r="N4" s="67"/>
    </row>
    <row r="5" spans="1:15" ht="15" customHeight="1" x14ac:dyDescent="0.25">
      <c r="A5" s="86" t="s">
        <v>244</v>
      </c>
      <c r="B5" s="87"/>
      <c r="C5" s="87"/>
      <c r="D5" s="87"/>
      <c r="E5" s="87"/>
      <c r="F5" s="87"/>
      <c r="G5" s="87"/>
      <c r="H5" s="87"/>
      <c r="I5" s="87"/>
      <c r="J5" s="87"/>
      <c r="K5" s="260" t="s">
        <v>225</v>
      </c>
      <c r="L5" s="261"/>
      <c r="M5" s="74">
        <f>VLOOKUP(K5,DMT!$B$26:$F$30,5,0)</f>
        <v>0</v>
      </c>
      <c r="N5" s="67"/>
    </row>
    <row r="6" spans="1:15" x14ac:dyDescent="0.25">
      <c r="A6" s="255" t="s">
        <v>226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74">
        <v>60</v>
      </c>
    </row>
    <row r="7" spans="1:15" x14ac:dyDescent="0.25">
      <c r="A7" s="255" t="s">
        <v>245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74">
        <v>40</v>
      </c>
    </row>
    <row r="8" spans="1:15" x14ac:dyDescent="0.25">
      <c r="A8" s="255" t="s">
        <v>227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138">
        <v>1</v>
      </c>
      <c r="N8" s="72" t="s">
        <v>246</v>
      </c>
    </row>
    <row r="9" spans="1:15" x14ac:dyDescent="0.25">
      <c r="A9" s="255" t="s">
        <v>228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74">
        <v>182.49</v>
      </c>
    </row>
    <row r="10" spans="1:15" ht="20.100000000000001" customHeight="1" x14ac:dyDescent="0.25">
      <c r="A10" s="256" t="s">
        <v>229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</row>
    <row r="11" spans="1:15" ht="44.25" customHeight="1" x14ac:dyDescent="0.25">
      <c r="A11" s="75" t="s">
        <v>230</v>
      </c>
      <c r="B11" s="75" t="s">
        <v>231</v>
      </c>
      <c r="C11" s="75" t="s">
        <v>247</v>
      </c>
      <c r="D11" s="75" t="s">
        <v>248</v>
      </c>
      <c r="E11" s="85" t="s">
        <v>241</v>
      </c>
      <c r="F11" s="75" t="s">
        <v>232</v>
      </c>
      <c r="G11" s="75" t="s">
        <v>34</v>
      </c>
      <c r="H11" s="75" t="s">
        <v>33</v>
      </c>
      <c r="I11" s="75" t="s">
        <v>233</v>
      </c>
      <c r="J11" s="76" t="s">
        <v>234</v>
      </c>
      <c r="K11" s="76" t="s">
        <v>235</v>
      </c>
      <c r="L11" s="85" t="s">
        <v>236</v>
      </c>
      <c r="M11" s="76" t="s">
        <v>237</v>
      </c>
    </row>
    <row r="12" spans="1:15" x14ac:dyDescent="0.2">
      <c r="A12" s="94">
        <v>304000</v>
      </c>
      <c r="B12" s="69" t="str">
        <f>VLOOKUP(A12, CHP!$A$13:D$215,2,0)</f>
        <v>Bate estacas leve</v>
      </c>
      <c r="C12" s="77">
        <f t="shared" ref="C12:C155" si="0">$M$4</f>
        <v>197.96</v>
      </c>
      <c r="D12" s="77">
        <f>$M$5</f>
        <v>0</v>
      </c>
      <c r="E12" s="88"/>
      <c r="F12" s="77">
        <f t="shared" ref="F12" si="1">ROUNDUP(E12/($M$9*$M$8),0)</f>
        <v>0</v>
      </c>
      <c r="G12" s="78">
        <f t="shared" ref="G12" si="2">IF(A12=I12,1,2)</f>
        <v>2</v>
      </c>
      <c r="H12" s="79">
        <f>VLOOKUP(A12,'Transporte - FU'!$A$3:$C$166,3,0)</f>
        <v>1</v>
      </c>
      <c r="I12" s="78" t="str">
        <f>VLOOKUP(A12,'Transporte - FU'!$A$3:$C$166,2,0)</f>
        <v>EQ002</v>
      </c>
      <c r="J12" s="80">
        <f>VLOOKUP(I12,CHP!$A$13:$D$215,3,0)</f>
        <v>482.02</v>
      </c>
      <c r="K12" s="78" t="s">
        <v>238</v>
      </c>
      <c r="L12" s="136"/>
      <c r="M12" s="81">
        <f>IFERROR(((C12*G12*H12)/$M$6+(D12*G12*H12)/$M$7)*J12*F12,0)+(F12*L12)</f>
        <v>0</v>
      </c>
    </row>
    <row r="13" spans="1:15" x14ac:dyDescent="0.2">
      <c r="A13" s="151">
        <v>316060</v>
      </c>
      <c r="B13" s="69" t="str">
        <f>VLOOKUP(A13, CHP!$A$13:D$215,2,0)</f>
        <v>Cam. bascul. 1419 6m3 leve</v>
      </c>
      <c r="C13" s="77">
        <f t="shared" si="0"/>
        <v>197.96</v>
      </c>
      <c r="D13" s="77">
        <f t="shared" ref="D13:D74" si="3">$M$5</f>
        <v>0</v>
      </c>
      <c r="E13" s="88"/>
      <c r="F13" s="77">
        <f t="shared" ref="F13:F74" si="4">ROUNDUP(E13/($M$9*$M$8),0)</f>
        <v>0</v>
      </c>
      <c r="G13" s="78">
        <f t="shared" ref="G13:G74" si="5">IF(A13=I13,1,2)</f>
        <v>1</v>
      </c>
      <c r="H13" s="79">
        <f>VLOOKUP(A13,'Transporte - FU'!$A$3:$C$166,3,0)</f>
        <v>1</v>
      </c>
      <c r="I13" s="78">
        <f>VLOOKUP(A13,'Transporte - FU'!$A$3:$C$166,2,0)</f>
        <v>316060</v>
      </c>
      <c r="J13" s="80">
        <f>VLOOKUP(I13,CHP!$A$13:$D$215,3,0)</f>
        <v>260.63</v>
      </c>
      <c r="K13" s="78" t="s">
        <v>238</v>
      </c>
      <c r="L13" s="136"/>
      <c r="M13" s="81">
        <f t="shared" ref="M13:M74" si="6">IFERROR(((C13*G13*H13)/$M$6+(D13*G13*H13)/$M$7)*J13*F13,0)+(F13*L13)</f>
        <v>0</v>
      </c>
    </row>
    <row r="14" spans="1:15" x14ac:dyDescent="0.2">
      <c r="A14" s="151">
        <v>326060</v>
      </c>
      <c r="B14" s="69" t="str">
        <f>VLOOKUP(A14, CHP!$A$13:D$215,2,0)</f>
        <v>Cam. bascul. 1419-C 6m3 média</v>
      </c>
      <c r="C14" s="77">
        <f t="shared" si="0"/>
        <v>197.96</v>
      </c>
      <c r="D14" s="77">
        <f t="shared" si="3"/>
        <v>0</v>
      </c>
      <c r="E14" s="88"/>
      <c r="F14" s="77">
        <f t="shared" si="4"/>
        <v>0</v>
      </c>
      <c r="G14" s="78">
        <f t="shared" si="5"/>
        <v>1</v>
      </c>
      <c r="H14" s="79">
        <f>VLOOKUP(A14,'Transporte - FU'!$A$3:$C$166,3,0)</f>
        <v>1</v>
      </c>
      <c r="I14" s="78">
        <f>VLOOKUP(A14,'Transporte - FU'!$A$3:$C$166,2,0)</f>
        <v>326060</v>
      </c>
      <c r="J14" s="80">
        <f>VLOOKUP(I14,CHP!$A$13:$D$215,3,0)</f>
        <v>279.93</v>
      </c>
      <c r="K14" s="78" t="s">
        <v>238</v>
      </c>
      <c r="L14" s="136"/>
      <c r="M14" s="81">
        <f t="shared" si="6"/>
        <v>0</v>
      </c>
    </row>
    <row r="15" spans="1:15" x14ac:dyDescent="0.2">
      <c r="A15" s="151">
        <v>336060</v>
      </c>
      <c r="B15" s="69" t="str">
        <f>VLOOKUP(A15, CHP!$A$13:D$215,2,0)</f>
        <v>Cam. bascul. 1419-C 6m3 severa</v>
      </c>
      <c r="C15" s="77">
        <f t="shared" si="0"/>
        <v>197.96</v>
      </c>
      <c r="D15" s="77">
        <f t="shared" si="3"/>
        <v>0</v>
      </c>
      <c r="E15" s="88"/>
      <c r="F15" s="77">
        <f t="shared" si="4"/>
        <v>0</v>
      </c>
      <c r="G15" s="78">
        <f t="shared" si="5"/>
        <v>1</v>
      </c>
      <c r="H15" s="79">
        <f>VLOOKUP(A15,'Transporte - FU'!$A$3:$C$166,3,0)</f>
        <v>1</v>
      </c>
      <c r="I15" s="78">
        <f>VLOOKUP(A15,'Transporte - FU'!$A$3:$C$166,2,0)</f>
        <v>336060</v>
      </c>
      <c r="J15" s="80">
        <f>VLOOKUP(I15,CHP!$A$13:$D$215,3,0)</f>
        <v>304.77</v>
      </c>
      <c r="K15" s="78" t="s">
        <v>238</v>
      </c>
      <c r="L15" s="136"/>
      <c r="M15" s="81">
        <f t="shared" si="6"/>
        <v>0</v>
      </c>
    </row>
    <row r="16" spans="1:15" x14ac:dyDescent="0.2">
      <c r="A16" s="151">
        <v>313180</v>
      </c>
      <c r="B16" s="69" t="str">
        <f>VLOOKUP(A16, CHP!$A$13:D$215,2,0)</f>
        <v>Cam. bascul. 1635/45 12m3 leve</v>
      </c>
      <c r="C16" s="77">
        <f t="shared" si="0"/>
        <v>197.96</v>
      </c>
      <c r="D16" s="77">
        <f t="shared" si="3"/>
        <v>0</v>
      </c>
      <c r="E16" s="88"/>
      <c r="F16" s="77">
        <f t="shared" si="4"/>
        <v>0</v>
      </c>
      <c r="G16" s="78">
        <f t="shared" si="5"/>
        <v>1</v>
      </c>
      <c r="H16" s="79">
        <f>VLOOKUP(A16,'Transporte - FU'!$A$3:$C$166,3,0)</f>
        <v>1</v>
      </c>
      <c r="I16" s="78">
        <f>VLOOKUP(A16,'Transporte - FU'!$A$3:$C$166,2,0)</f>
        <v>313180</v>
      </c>
      <c r="J16" s="80">
        <f>VLOOKUP(I16,CHP!$A$13:$D$215,3,0)</f>
        <v>387.68</v>
      </c>
      <c r="K16" s="78" t="s">
        <v>238</v>
      </c>
      <c r="L16" s="136"/>
      <c r="M16" s="81">
        <f t="shared" si="6"/>
        <v>0</v>
      </c>
    </row>
    <row r="17" spans="1:13" x14ac:dyDescent="0.2">
      <c r="A17" s="151">
        <v>323180</v>
      </c>
      <c r="B17" s="69" t="str">
        <f>VLOOKUP(A17, CHP!$A$13:D$215,2,0)</f>
        <v>Cam. bascul. 1635/45 12m3 média</v>
      </c>
      <c r="C17" s="77">
        <f t="shared" si="0"/>
        <v>197.96</v>
      </c>
      <c r="D17" s="77">
        <f t="shared" si="3"/>
        <v>0</v>
      </c>
      <c r="E17" s="88"/>
      <c r="F17" s="77">
        <f t="shared" si="4"/>
        <v>0</v>
      </c>
      <c r="G17" s="78">
        <f t="shared" si="5"/>
        <v>1</v>
      </c>
      <c r="H17" s="79">
        <f>VLOOKUP(A17,'Transporte - FU'!$A$3:$C$166,3,0)</f>
        <v>1</v>
      </c>
      <c r="I17" s="78">
        <f>VLOOKUP(A17,'Transporte - FU'!$A$3:$C$166,2,0)</f>
        <v>323180</v>
      </c>
      <c r="J17" s="80">
        <f>VLOOKUP(I17,CHP!$A$13:$D$215,3,0)</f>
        <v>414.88</v>
      </c>
      <c r="K17" s="78" t="s">
        <v>238</v>
      </c>
      <c r="L17" s="136"/>
      <c r="M17" s="81">
        <f t="shared" si="6"/>
        <v>0</v>
      </c>
    </row>
    <row r="18" spans="1:13" x14ac:dyDescent="0.2">
      <c r="A18" s="151">
        <v>333180</v>
      </c>
      <c r="B18" s="69" t="str">
        <f>VLOOKUP(A18, CHP!$A$13:D$215,2,0)</f>
        <v>Cam. bascul. 1635/45 12m3 severa</v>
      </c>
      <c r="C18" s="77">
        <f t="shared" si="0"/>
        <v>197.96</v>
      </c>
      <c r="D18" s="77">
        <f t="shared" si="3"/>
        <v>0</v>
      </c>
      <c r="E18" s="88"/>
      <c r="F18" s="77">
        <f t="shared" si="4"/>
        <v>0</v>
      </c>
      <c r="G18" s="78">
        <f t="shared" si="5"/>
        <v>1</v>
      </c>
      <c r="H18" s="79">
        <f>VLOOKUP(A18,'Transporte - FU'!$A$3:$C$166,3,0)</f>
        <v>1</v>
      </c>
      <c r="I18" s="78">
        <f>VLOOKUP(A18,'Transporte - FU'!$A$3:$C$166,2,0)</f>
        <v>333180</v>
      </c>
      <c r="J18" s="80">
        <f>VLOOKUP(I18,CHP!$A$13:$D$215,3,0)</f>
        <v>449.88</v>
      </c>
      <c r="K18" s="78" t="s">
        <v>238</v>
      </c>
      <c r="L18" s="136"/>
      <c r="M18" s="81">
        <f t="shared" si="6"/>
        <v>0</v>
      </c>
    </row>
    <row r="19" spans="1:13" x14ac:dyDescent="0.2">
      <c r="A19" s="151">
        <v>313140</v>
      </c>
      <c r="B19" s="69" t="str">
        <f>VLOOKUP(A19, CHP!$A$13:D$215,2,0)</f>
        <v>Cam. bascul. 2426/48  6m3 leve</v>
      </c>
      <c r="C19" s="77">
        <f t="shared" si="0"/>
        <v>197.96</v>
      </c>
      <c r="D19" s="77">
        <f t="shared" si="3"/>
        <v>0</v>
      </c>
      <c r="E19" s="88"/>
      <c r="F19" s="77">
        <f t="shared" si="4"/>
        <v>0</v>
      </c>
      <c r="G19" s="78">
        <f t="shared" si="5"/>
        <v>1</v>
      </c>
      <c r="H19" s="79">
        <f>VLOOKUP(A19,'Transporte - FU'!$A$3:$C$166,3,0)</f>
        <v>1</v>
      </c>
      <c r="I19" s="78">
        <f>VLOOKUP(A19,'Transporte - FU'!$A$3:$C$166,2,0)</f>
        <v>313140</v>
      </c>
      <c r="J19" s="80">
        <f>VLOOKUP(I19,CHP!$A$13:$D$215,3,0)</f>
        <v>302.33</v>
      </c>
      <c r="K19" s="78" t="s">
        <v>238</v>
      </c>
      <c r="L19" s="136"/>
      <c r="M19" s="81">
        <f t="shared" si="6"/>
        <v>0</v>
      </c>
    </row>
    <row r="20" spans="1:13" x14ac:dyDescent="0.2">
      <c r="A20" s="151">
        <v>323140</v>
      </c>
      <c r="B20" s="69" t="str">
        <f>VLOOKUP(A20, CHP!$A$13:D$215,2,0)</f>
        <v>Cam. bascul. 2426/48  6m3 média</v>
      </c>
      <c r="C20" s="77">
        <f t="shared" si="0"/>
        <v>197.96</v>
      </c>
      <c r="D20" s="77">
        <f t="shared" si="3"/>
        <v>0</v>
      </c>
      <c r="E20" s="88"/>
      <c r="F20" s="77">
        <f t="shared" si="4"/>
        <v>0</v>
      </c>
      <c r="G20" s="78">
        <f t="shared" si="5"/>
        <v>1</v>
      </c>
      <c r="H20" s="79">
        <f>VLOOKUP(A20,'Transporte - FU'!$A$3:$C$166,3,0)</f>
        <v>1</v>
      </c>
      <c r="I20" s="78">
        <f>VLOOKUP(A20,'Transporte - FU'!$A$3:$C$166,2,0)</f>
        <v>323140</v>
      </c>
      <c r="J20" s="80">
        <f>VLOOKUP(I20,CHP!$A$13:$D$215,3,0)</f>
        <v>323.55</v>
      </c>
      <c r="K20" s="78" t="s">
        <v>238</v>
      </c>
      <c r="L20" s="136"/>
      <c r="M20" s="81">
        <f t="shared" si="6"/>
        <v>0</v>
      </c>
    </row>
    <row r="21" spans="1:13" x14ac:dyDescent="0.2">
      <c r="A21" s="151">
        <v>333140</v>
      </c>
      <c r="B21" s="69" t="str">
        <f>VLOOKUP(A21, CHP!$A$13:D$215,2,0)</f>
        <v>Cam. bascul. 2426/48  6m3 severa</v>
      </c>
      <c r="C21" s="77">
        <f t="shared" si="0"/>
        <v>197.96</v>
      </c>
      <c r="D21" s="77">
        <f t="shared" si="3"/>
        <v>0</v>
      </c>
      <c r="E21" s="88"/>
      <c r="F21" s="77">
        <f t="shared" si="4"/>
        <v>0</v>
      </c>
      <c r="G21" s="78">
        <f t="shared" si="5"/>
        <v>1</v>
      </c>
      <c r="H21" s="79">
        <f>VLOOKUP(A21,'Transporte - FU'!$A$3:$C$166,3,0)</f>
        <v>1</v>
      </c>
      <c r="I21" s="78">
        <f>VLOOKUP(A21,'Transporte - FU'!$A$3:$C$166,2,0)</f>
        <v>333140</v>
      </c>
      <c r="J21" s="80">
        <f>VLOOKUP(I21,CHP!$A$13:$D$215,3,0)</f>
        <v>350.88</v>
      </c>
      <c r="K21" s="78" t="s">
        <v>238</v>
      </c>
      <c r="L21" s="136"/>
      <c r="M21" s="81">
        <f t="shared" si="6"/>
        <v>0</v>
      </c>
    </row>
    <row r="22" spans="1:13" x14ac:dyDescent="0.2">
      <c r="A22" s="151">
        <v>321800</v>
      </c>
      <c r="B22" s="69" t="str">
        <f>VLOOKUP(A22, CHP!$A$13:D$215,2,0)</f>
        <v>Cam. bascul. 2426/48  8m3 média</v>
      </c>
      <c r="C22" s="77">
        <f t="shared" si="0"/>
        <v>197.96</v>
      </c>
      <c r="D22" s="77">
        <f t="shared" si="3"/>
        <v>0</v>
      </c>
      <c r="E22" s="88"/>
      <c r="F22" s="77">
        <f t="shared" si="4"/>
        <v>0</v>
      </c>
      <c r="G22" s="78">
        <f t="shared" si="5"/>
        <v>1</v>
      </c>
      <c r="H22" s="79">
        <f>VLOOKUP(A22,'Transporte - FU'!$A$3:$C$166,3,0)</f>
        <v>1</v>
      </c>
      <c r="I22" s="78">
        <f>VLOOKUP(A22,'Transporte - FU'!$A$3:$C$166,2,0)</f>
        <v>321800</v>
      </c>
      <c r="J22" s="80">
        <f>VLOOKUP(I22,CHP!$A$13:$D$215,3,0)</f>
        <v>325.64</v>
      </c>
      <c r="K22" s="78" t="s">
        <v>238</v>
      </c>
      <c r="L22" s="136"/>
      <c r="M22" s="81">
        <f t="shared" si="6"/>
        <v>0</v>
      </c>
    </row>
    <row r="23" spans="1:13" x14ac:dyDescent="0.2">
      <c r="A23" s="151">
        <v>321820</v>
      </c>
      <c r="B23" s="69" t="str">
        <f>VLOOKUP(A23, CHP!$A$13:D$215,2,0)</f>
        <v>Cam. bascul. 2426/48 10m3 média</v>
      </c>
      <c r="C23" s="77">
        <f t="shared" si="0"/>
        <v>197.96</v>
      </c>
      <c r="D23" s="77">
        <f t="shared" si="3"/>
        <v>0</v>
      </c>
      <c r="E23" s="88"/>
      <c r="F23" s="77">
        <f t="shared" si="4"/>
        <v>0</v>
      </c>
      <c r="G23" s="78">
        <f t="shared" si="5"/>
        <v>1</v>
      </c>
      <c r="H23" s="79">
        <f>VLOOKUP(A23,'Transporte - FU'!$A$3:$C$166,3,0)</f>
        <v>1</v>
      </c>
      <c r="I23" s="78">
        <f>VLOOKUP(A23,'Transporte - FU'!$A$3:$C$166,2,0)</f>
        <v>321820</v>
      </c>
      <c r="J23" s="80">
        <f>VLOOKUP(I23,CHP!$A$13:$D$215,3,0)</f>
        <v>326.27999999999997</v>
      </c>
      <c r="K23" s="78" t="s">
        <v>238</v>
      </c>
      <c r="L23" s="136"/>
      <c r="M23" s="81">
        <f t="shared" si="6"/>
        <v>0</v>
      </c>
    </row>
    <row r="24" spans="1:13" x14ac:dyDescent="0.2">
      <c r="A24" s="151">
        <v>322140</v>
      </c>
      <c r="B24" s="69" t="str">
        <f>VLOOKUP(A24, CHP!$A$13:D$215,2,0)</f>
        <v>Cam. bascul. 2730/36  5m3 média</v>
      </c>
      <c r="C24" s="77">
        <f t="shared" si="0"/>
        <v>197.96</v>
      </c>
      <c r="D24" s="77">
        <f t="shared" si="3"/>
        <v>0</v>
      </c>
      <c r="E24" s="88"/>
      <c r="F24" s="77">
        <f t="shared" si="4"/>
        <v>0</v>
      </c>
      <c r="G24" s="78">
        <f t="shared" si="5"/>
        <v>1</v>
      </c>
      <c r="H24" s="79">
        <f>VLOOKUP(A24,'Transporte - FU'!$A$3:$C$166,3,0)</f>
        <v>1</v>
      </c>
      <c r="I24" s="78">
        <f>VLOOKUP(A24,'Transporte - FU'!$A$3:$C$166,2,0)</f>
        <v>322140</v>
      </c>
      <c r="J24" s="80">
        <f>VLOOKUP(I24,CHP!$A$13:$D$215,3,0)</f>
        <v>349.24</v>
      </c>
      <c r="K24" s="78" t="s">
        <v>238</v>
      </c>
      <c r="L24" s="136"/>
      <c r="M24" s="81">
        <f t="shared" si="6"/>
        <v>0</v>
      </c>
    </row>
    <row r="25" spans="1:13" x14ac:dyDescent="0.2">
      <c r="A25" s="151">
        <v>336090</v>
      </c>
      <c r="B25" s="69" t="str">
        <f>VLOOKUP(A25, CHP!$A$13:D$215,2,0)</f>
        <v>Cam. caçamba minério 10m3 severa</v>
      </c>
      <c r="C25" s="77">
        <f t="shared" si="0"/>
        <v>197.96</v>
      </c>
      <c r="D25" s="77">
        <f t="shared" si="3"/>
        <v>0</v>
      </c>
      <c r="E25" s="88"/>
      <c r="F25" s="77">
        <f t="shared" si="4"/>
        <v>0</v>
      </c>
      <c r="G25" s="78">
        <f t="shared" si="5"/>
        <v>1</v>
      </c>
      <c r="H25" s="79">
        <f>VLOOKUP(A25,'Transporte - FU'!$A$3:$C$166,3,0)</f>
        <v>1</v>
      </c>
      <c r="I25" s="78">
        <f>VLOOKUP(A25,'Transporte - FU'!$A$3:$C$166,2,0)</f>
        <v>336090</v>
      </c>
      <c r="J25" s="80">
        <f>VLOOKUP(I25,CHP!$A$13:$D$215,3,0)</f>
        <v>362.88</v>
      </c>
      <c r="K25" s="78" t="s">
        <v>238</v>
      </c>
      <c r="L25" s="136"/>
      <c r="M25" s="81">
        <f t="shared" si="6"/>
        <v>0</v>
      </c>
    </row>
    <row r="26" spans="1:13" x14ac:dyDescent="0.2">
      <c r="A26" s="151">
        <v>343800</v>
      </c>
      <c r="B26" s="69" t="str">
        <f>VLOOKUP(A26, CHP!$A$13:D$215,2,0)</f>
        <v>Cam. chassi VM-390 p/ microrevestimento</v>
      </c>
      <c r="C26" s="77">
        <f t="shared" si="0"/>
        <v>197.96</v>
      </c>
      <c r="D26" s="77">
        <f t="shared" si="3"/>
        <v>0</v>
      </c>
      <c r="E26" s="88"/>
      <c r="F26" s="77">
        <f t="shared" si="4"/>
        <v>0</v>
      </c>
      <c r="G26" s="78">
        <f t="shared" si="5"/>
        <v>1</v>
      </c>
      <c r="H26" s="79">
        <f>VLOOKUP(A26,'Transporte - FU'!$A$3:$C$166,3,0)</f>
        <v>1</v>
      </c>
      <c r="I26" s="78">
        <f>VLOOKUP(A26,'Transporte - FU'!$A$3:$C$166,2,0)</f>
        <v>343800</v>
      </c>
      <c r="J26" s="80">
        <f>VLOOKUP(I26,CHP!$A$13:$D$215,3,0)</f>
        <v>373.32</v>
      </c>
      <c r="K26" s="78" t="s">
        <v>238</v>
      </c>
      <c r="L26" s="136"/>
      <c r="M26" s="81">
        <f t="shared" si="6"/>
        <v>0</v>
      </c>
    </row>
    <row r="27" spans="1:13" s="72" customFormat="1" ht="14.25" x14ac:dyDescent="0.2">
      <c r="A27" s="151">
        <v>346050</v>
      </c>
      <c r="B27" s="69" t="str">
        <f>VLOOKUP(A27, CHP!$A$13:D$215,2,0)</f>
        <v>Cam. chassi 1419</v>
      </c>
      <c r="C27" s="77">
        <f t="shared" si="0"/>
        <v>197.96</v>
      </c>
      <c r="D27" s="77">
        <f t="shared" si="3"/>
        <v>0</v>
      </c>
      <c r="E27" s="88"/>
      <c r="F27" s="77">
        <f t="shared" si="4"/>
        <v>0</v>
      </c>
      <c r="G27" s="78">
        <f t="shared" si="5"/>
        <v>1</v>
      </c>
      <c r="H27" s="79">
        <f>VLOOKUP(A27,'Transporte - FU'!$A$3:$C$166,3,0)</f>
        <v>1</v>
      </c>
      <c r="I27" s="78">
        <f>VLOOKUP(A27,'Transporte - FU'!$A$3:$C$166,2,0)</f>
        <v>346050</v>
      </c>
      <c r="J27" s="80">
        <f>VLOOKUP(I27,CHP!$A$13:$D$215,3,0)</f>
        <v>242.97</v>
      </c>
      <c r="K27" s="78" t="s">
        <v>238</v>
      </c>
      <c r="L27" s="136"/>
      <c r="M27" s="81">
        <f t="shared" si="6"/>
        <v>0</v>
      </c>
    </row>
    <row r="28" spans="1:13" s="72" customFormat="1" ht="14.25" x14ac:dyDescent="0.2">
      <c r="A28" s="151">
        <v>342300</v>
      </c>
      <c r="B28" s="69" t="str">
        <f>VLOOKUP(A28, CHP!$A$13:D$215,2,0)</f>
        <v>Cam. chassi 18.210</v>
      </c>
      <c r="C28" s="77">
        <f t="shared" si="0"/>
        <v>197.96</v>
      </c>
      <c r="D28" s="77">
        <f t="shared" si="3"/>
        <v>0</v>
      </c>
      <c r="E28" s="88"/>
      <c r="F28" s="77">
        <f t="shared" si="4"/>
        <v>0</v>
      </c>
      <c r="G28" s="78">
        <f t="shared" si="5"/>
        <v>1</v>
      </c>
      <c r="H28" s="79">
        <f>VLOOKUP(A28,'Transporte - FU'!$A$3:$C$166,3,0)</f>
        <v>1</v>
      </c>
      <c r="I28" s="78">
        <f>VLOOKUP(A28,'Transporte - FU'!$A$3:$C$166,2,0)</f>
        <v>342300</v>
      </c>
      <c r="J28" s="80">
        <f>VLOOKUP(I28,CHP!$A$13:$D$215,3,0)</f>
        <v>247.25</v>
      </c>
      <c r="K28" s="78" t="s">
        <v>238</v>
      </c>
      <c r="L28" s="136"/>
      <c r="M28" s="81">
        <f t="shared" si="6"/>
        <v>0</v>
      </c>
    </row>
    <row r="29" spans="1:13" s="72" customFormat="1" ht="14.25" x14ac:dyDescent="0.2">
      <c r="A29" s="151">
        <v>346010</v>
      </c>
      <c r="B29" s="69" t="str">
        <f>VLOOKUP(A29, CHP!$A$13:D$215,2,0)</f>
        <v>Cam. chassi 1726 p/ carroceria</v>
      </c>
      <c r="C29" s="77">
        <f t="shared" si="0"/>
        <v>197.96</v>
      </c>
      <c r="D29" s="77">
        <f t="shared" si="3"/>
        <v>0</v>
      </c>
      <c r="E29" s="88"/>
      <c r="F29" s="77">
        <f t="shared" si="4"/>
        <v>0</v>
      </c>
      <c r="G29" s="78">
        <f t="shared" si="5"/>
        <v>1</v>
      </c>
      <c r="H29" s="79">
        <f>VLOOKUP(A29,'Transporte - FU'!$A$3:$C$166,3,0)</f>
        <v>1</v>
      </c>
      <c r="I29" s="78">
        <f>VLOOKUP(A29,'Transporte - FU'!$A$3:$C$166,2,0)</f>
        <v>346010</v>
      </c>
      <c r="J29" s="80">
        <f>VLOOKUP(I29,CHP!$A$13:$D$215,3,0)</f>
        <v>284</v>
      </c>
      <c r="K29" s="78" t="s">
        <v>238</v>
      </c>
      <c r="L29" s="136"/>
      <c r="M29" s="81">
        <f t="shared" si="6"/>
        <v>0</v>
      </c>
    </row>
    <row r="30" spans="1:13" s="72" customFormat="1" ht="14.25" x14ac:dyDescent="0.2">
      <c r="A30" s="151">
        <v>341800</v>
      </c>
      <c r="B30" s="69" t="str">
        <f>VLOOKUP(A30, CHP!$A$13:D$215,2,0)</f>
        <v>Cam. chassi 1726 p/ lama asfáltica</v>
      </c>
      <c r="C30" s="77">
        <f t="shared" si="0"/>
        <v>197.96</v>
      </c>
      <c r="D30" s="77">
        <f t="shared" si="3"/>
        <v>0</v>
      </c>
      <c r="E30" s="88"/>
      <c r="F30" s="77">
        <f t="shared" si="4"/>
        <v>0</v>
      </c>
      <c r="G30" s="78">
        <f t="shared" si="5"/>
        <v>1</v>
      </c>
      <c r="H30" s="79">
        <f>VLOOKUP(A30,'Transporte - FU'!$A$3:$C$166,3,0)</f>
        <v>1</v>
      </c>
      <c r="I30" s="78">
        <f>VLOOKUP(A30,'Transporte - FU'!$A$3:$C$166,2,0)</f>
        <v>341800</v>
      </c>
      <c r="J30" s="80">
        <f>VLOOKUP(I30,CHP!$A$13:$D$215,3,0)</f>
        <v>287.12</v>
      </c>
      <c r="K30" s="78" t="s">
        <v>238</v>
      </c>
      <c r="L30" s="136"/>
      <c r="M30" s="81">
        <f t="shared" si="6"/>
        <v>0</v>
      </c>
    </row>
    <row r="31" spans="1:13" s="72" customFormat="1" ht="14.25" x14ac:dyDescent="0.2">
      <c r="A31" s="151">
        <v>326280</v>
      </c>
      <c r="B31" s="69" t="str">
        <f>VLOOKUP(A31, CHP!$A$13:D$215,2,0)</f>
        <v xml:space="preserve">Caminhão betoneira 8 m³  </v>
      </c>
      <c r="C31" s="77">
        <f t="shared" si="0"/>
        <v>197.96</v>
      </c>
      <c r="D31" s="77">
        <f t="shared" si="3"/>
        <v>0</v>
      </c>
      <c r="E31" s="88"/>
      <c r="F31" s="77">
        <f t="shared" si="4"/>
        <v>0</v>
      </c>
      <c r="G31" s="78">
        <f t="shared" si="5"/>
        <v>1</v>
      </c>
      <c r="H31" s="79">
        <f>VLOOKUP(A31,'Transporte - FU'!$A$3:$C$166,3,0)</f>
        <v>1</v>
      </c>
      <c r="I31" s="78">
        <f>VLOOKUP(A31,'Transporte - FU'!$A$3:$C$166,2,0)</f>
        <v>326280</v>
      </c>
      <c r="J31" s="80">
        <f>VLOOKUP(I31,CHP!$A$13:$D$215,3,0)</f>
        <v>348.88</v>
      </c>
      <c r="K31" s="78" t="s">
        <v>238</v>
      </c>
      <c r="L31" s="136"/>
      <c r="M31" s="81">
        <f t="shared" si="6"/>
        <v>0</v>
      </c>
    </row>
    <row r="32" spans="1:13" s="72" customFormat="1" ht="14.25" x14ac:dyDescent="0.2">
      <c r="A32" s="151">
        <v>346020</v>
      </c>
      <c r="B32" s="69" t="str">
        <f>VLOOKUP(A32, CHP!$A$13:D$215,2,0)</f>
        <v>Caminhão c/ guindauto</v>
      </c>
      <c r="C32" s="77">
        <f t="shared" si="0"/>
        <v>197.96</v>
      </c>
      <c r="D32" s="77">
        <f t="shared" si="3"/>
        <v>0</v>
      </c>
      <c r="E32" s="88"/>
      <c r="F32" s="77">
        <f t="shared" si="4"/>
        <v>0</v>
      </c>
      <c r="G32" s="78">
        <f t="shared" si="5"/>
        <v>1</v>
      </c>
      <c r="H32" s="79">
        <f>VLOOKUP(A32,'Transporte - FU'!$A$3:$C$166,3,0)</f>
        <v>1</v>
      </c>
      <c r="I32" s="78">
        <f>VLOOKUP(A32,'Transporte - FU'!$A$3:$C$166,2,0)</f>
        <v>346020</v>
      </c>
      <c r="J32" s="80">
        <f>VLOOKUP(I32,CHP!$A$13:$D$215,3,0)</f>
        <v>279.74</v>
      </c>
      <c r="K32" s="78" t="s">
        <v>238</v>
      </c>
      <c r="L32" s="136"/>
      <c r="M32" s="81">
        <f t="shared" si="6"/>
        <v>0</v>
      </c>
    </row>
    <row r="33" spans="1:13" s="72" customFormat="1" ht="14.25" x14ac:dyDescent="0.2">
      <c r="A33" s="151">
        <v>346090</v>
      </c>
      <c r="B33" s="69" t="str">
        <f>VLOOKUP(A33, CHP!$A$13:D$215,2,0)</f>
        <v>Caminhão carroceria cabine dupla</v>
      </c>
      <c r="C33" s="77">
        <f t="shared" si="0"/>
        <v>197.96</v>
      </c>
      <c r="D33" s="77">
        <f t="shared" si="3"/>
        <v>0</v>
      </c>
      <c r="E33" s="88"/>
      <c r="F33" s="77">
        <f t="shared" si="4"/>
        <v>0</v>
      </c>
      <c r="G33" s="78">
        <f t="shared" si="5"/>
        <v>1</v>
      </c>
      <c r="H33" s="79">
        <f>VLOOKUP(A33,'Transporte - FU'!$A$3:$C$166,3,0)</f>
        <v>1</v>
      </c>
      <c r="I33" s="78">
        <f>VLOOKUP(A33,'Transporte - FU'!$A$3:$C$166,2,0)</f>
        <v>346090</v>
      </c>
      <c r="J33" s="80">
        <f>VLOOKUP(I33,CHP!$A$13:$D$215,3,0)</f>
        <v>208.07</v>
      </c>
      <c r="K33" s="78" t="s">
        <v>238</v>
      </c>
      <c r="L33" s="136"/>
      <c r="M33" s="81">
        <f t="shared" si="6"/>
        <v>0</v>
      </c>
    </row>
    <row r="34" spans="1:13" s="72" customFormat="1" ht="14.25" x14ac:dyDescent="0.2">
      <c r="A34" s="151">
        <v>346000</v>
      </c>
      <c r="B34" s="69" t="str">
        <f>VLOOKUP(A34, CHP!$A$13:D$215,2,0)</f>
        <v>Caminhão carroceria 1419 14 t</v>
      </c>
      <c r="C34" s="77">
        <f t="shared" si="0"/>
        <v>197.96</v>
      </c>
      <c r="D34" s="77">
        <f t="shared" si="3"/>
        <v>0</v>
      </c>
      <c r="E34" s="88"/>
      <c r="F34" s="77">
        <f t="shared" si="4"/>
        <v>0</v>
      </c>
      <c r="G34" s="78">
        <f t="shared" si="5"/>
        <v>1</v>
      </c>
      <c r="H34" s="79">
        <f>VLOOKUP(A34,'Transporte - FU'!$A$3:$C$166,3,0)</f>
        <v>1</v>
      </c>
      <c r="I34" s="78">
        <f>VLOOKUP(A34,'Transporte - FU'!$A$3:$C$166,2,0)</f>
        <v>346000</v>
      </c>
      <c r="J34" s="80">
        <f>VLOOKUP(I34,CHP!$A$13:$D$215,3,0)</f>
        <v>246.68</v>
      </c>
      <c r="K34" s="78" t="s">
        <v>238</v>
      </c>
      <c r="L34" s="136"/>
      <c r="M34" s="81">
        <f t="shared" si="6"/>
        <v>0</v>
      </c>
    </row>
    <row r="35" spans="1:13" s="72" customFormat="1" ht="14.25" x14ac:dyDescent="0.2">
      <c r="A35" s="151">
        <v>346080</v>
      </c>
      <c r="B35" s="69" t="str">
        <f>VLOOKUP(A35, CHP!$A$13:D$215,2,0)</f>
        <v>Caminhão carroceria 815/37 6 t</v>
      </c>
      <c r="C35" s="77">
        <f t="shared" si="0"/>
        <v>197.96</v>
      </c>
      <c r="D35" s="77">
        <f t="shared" si="3"/>
        <v>0</v>
      </c>
      <c r="E35" s="88"/>
      <c r="F35" s="77">
        <f t="shared" si="4"/>
        <v>0</v>
      </c>
      <c r="G35" s="78">
        <f t="shared" si="5"/>
        <v>1</v>
      </c>
      <c r="H35" s="79">
        <f>VLOOKUP(A35,'Transporte - FU'!$A$3:$C$166,3,0)</f>
        <v>1</v>
      </c>
      <c r="I35" s="78">
        <f>VLOOKUP(A35,'Transporte - FU'!$A$3:$C$166,2,0)</f>
        <v>346080</v>
      </c>
      <c r="J35" s="80">
        <f>VLOOKUP(I35,CHP!$A$13:$D$215,3,0)</f>
        <v>195.78</v>
      </c>
      <c r="K35" s="78" t="s">
        <v>238</v>
      </c>
      <c r="L35" s="136"/>
      <c r="M35" s="81">
        <f t="shared" si="6"/>
        <v>0</v>
      </c>
    </row>
    <row r="36" spans="1:13" s="72" customFormat="1" ht="14.25" x14ac:dyDescent="0.2">
      <c r="A36" s="151">
        <v>346220</v>
      </c>
      <c r="B36" s="69" t="str">
        <f>VLOOKUP(A36, CHP!$A$13:D$215,2,0)</f>
        <v xml:space="preserve">Caminhão com guindaste com cesto </v>
      </c>
      <c r="C36" s="77">
        <f t="shared" si="0"/>
        <v>197.96</v>
      </c>
      <c r="D36" s="77">
        <f t="shared" si="3"/>
        <v>0</v>
      </c>
      <c r="E36" s="88"/>
      <c r="F36" s="77">
        <f t="shared" si="4"/>
        <v>0</v>
      </c>
      <c r="G36" s="78">
        <f t="shared" si="5"/>
        <v>1</v>
      </c>
      <c r="H36" s="79">
        <f>VLOOKUP(A36,'Transporte - FU'!$A$3:$C$166,3,0)</f>
        <v>1</v>
      </c>
      <c r="I36" s="78">
        <f>VLOOKUP(A36,'Transporte - FU'!$A$3:$C$166,2,0)</f>
        <v>346220</v>
      </c>
      <c r="J36" s="80">
        <f>VLOOKUP(I36,CHP!$A$13:$D$215,3,0)</f>
        <v>350.79</v>
      </c>
      <c r="K36" s="78" t="s">
        <v>238</v>
      </c>
      <c r="L36" s="136"/>
      <c r="M36" s="81">
        <f t="shared" si="6"/>
        <v>0</v>
      </c>
    </row>
    <row r="37" spans="1:13" s="72" customFormat="1" ht="14.25" x14ac:dyDescent="0.2">
      <c r="A37" s="151">
        <v>346030</v>
      </c>
      <c r="B37" s="69" t="str">
        <f>VLOOKUP(A37, CHP!$A$13:D$215,2,0)</f>
        <v>Caminhão comboio abastecedor</v>
      </c>
      <c r="C37" s="77">
        <f t="shared" si="0"/>
        <v>197.96</v>
      </c>
      <c r="D37" s="77">
        <f t="shared" si="3"/>
        <v>0</v>
      </c>
      <c r="E37" s="88"/>
      <c r="F37" s="77">
        <f t="shared" si="4"/>
        <v>0</v>
      </c>
      <c r="G37" s="78">
        <f t="shared" si="5"/>
        <v>1</v>
      </c>
      <c r="H37" s="79">
        <f>VLOOKUP(A37,'Transporte - FU'!$A$3:$C$166,3,0)</f>
        <v>1</v>
      </c>
      <c r="I37" s="78">
        <f>VLOOKUP(A37,'Transporte - FU'!$A$3:$C$166,2,0)</f>
        <v>346030</v>
      </c>
      <c r="J37" s="80">
        <f>VLOOKUP(I37,CHP!$A$13:$D$215,3,0)</f>
        <v>256.35000000000002</v>
      </c>
      <c r="K37" s="78" t="s">
        <v>238</v>
      </c>
      <c r="L37" s="136"/>
      <c r="M37" s="81">
        <f t="shared" si="6"/>
        <v>0</v>
      </c>
    </row>
    <row r="38" spans="1:13" s="72" customFormat="1" ht="14.25" x14ac:dyDescent="0.2">
      <c r="A38" s="151">
        <v>346060</v>
      </c>
      <c r="B38" s="69" t="str">
        <f>VLOOKUP(A38, CHP!$A$13:D$215,2,0)</f>
        <v>Caminhão irrigador 6000 l</v>
      </c>
      <c r="C38" s="77">
        <f t="shared" si="0"/>
        <v>197.96</v>
      </c>
      <c r="D38" s="77">
        <f t="shared" si="3"/>
        <v>0</v>
      </c>
      <c r="E38" s="88"/>
      <c r="F38" s="77">
        <f t="shared" si="4"/>
        <v>0</v>
      </c>
      <c r="G38" s="78">
        <f t="shared" si="5"/>
        <v>1</v>
      </c>
      <c r="H38" s="79">
        <f>VLOOKUP(A38,'Transporte - FU'!$A$3:$C$166,3,0)</f>
        <v>1</v>
      </c>
      <c r="I38" s="78">
        <f>VLOOKUP(A38,'Transporte - FU'!$A$3:$C$166,2,0)</f>
        <v>346060</v>
      </c>
      <c r="J38" s="80">
        <f>VLOOKUP(I38,CHP!$A$13:$D$215,3,0)</f>
        <v>255.58</v>
      </c>
      <c r="K38" s="78" t="s">
        <v>238</v>
      </c>
      <c r="L38" s="136"/>
      <c r="M38" s="81">
        <f t="shared" si="6"/>
        <v>0</v>
      </c>
    </row>
    <row r="39" spans="1:13" s="72" customFormat="1" ht="14.25" x14ac:dyDescent="0.2">
      <c r="A39" s="151">
        <v>346070</v>
      </c>
      <c r="B39" s="69" t="str">
        <f>VLOOKUP(A39, CHP!$A$13:D$215,2,0)</f>
        <v>Caminhão pipa 6000 l</v>
      </c>
      <c r="C39" s="77">
        <f t="shared" si="0"/>
        <v>197.96</v>
      </c>
      <c r="D39" s="77">
        <f t="shared" si="3"/>
        <v>0</v>
      </c>
      <c r="E39" s="88"/>
      <c r="F39" s="77">
        <f t="shared" si="4"/>
        <v>0</v>
      </c>
      <c r="G39" s="78">
        <f t="shared" si="5"/>
        <v>1</v>
      </c>
      <c r="H39" s="79">
        <f>VLOOKUP(A39,'Transporte - FU'!$A$3:$C$166,3,0)</f>
        <v>1</v>
      </c>
      <c r="I39" s="78">
        <f>VLOOKUP(A39,'Transporte - FU'!$A$3:$C$166,2,0)</f>
        <v>346070</v>
      </c>
      <c r="J39" s="80">
        <f>VLOOKUP(I39,CHP!$A$13:$D$215,3,0)</f>
        <v>250.42</v>
      </c>
      <c r="K39" s="78" t="s">
        <v>238</v>
      </c>
      <c r="L39" s="136"/>
      <c r="M39" s="81">
        <f t="shared" si="6"/>
        <v>0</v>
      </c>
    </row>
    <row r="40" spans="1:13" s="72" customFormat="1" ht="14.25" x14ac:dyDescent="0.2">
      <c r="A40" s="151">
        <v>340030</v>
      </c>
      <c r="B40" s="69" t="str">
        <f>VLOOKUP(A40, CHP!$A$13:D$215,2,0)</f>
        <v>Caminhão silo 30m³</v>
      </c>
      <c r="C40" s="77">
        <f t="shared" si="0"/>
        <v>197.96</v>
      </c>
      <c r="D40" s="77">
        <f t="shared" si="3"/>
        <v>0</v>
      </c>
      <c r="E40" s="88"/>
      <c r="F40" s="77">
        <f t="shared" ref="F40" si="7">ROUNDUP(E40/($M$9*$M$8),0)</f>
        <v>0</v>
      </c>
      <c r="G40" s="78">
        <f t="shared" ref="G40" si="8">IF(A40=I40,1,2)</f>
        <v>1</v>
      </c>
      <c r="H40" s="79">
        <f>VLOOKUP(A40,'Transporte - FU'!$A$3:$C$166,3,0)</f>
        <v>1</v>
      </c>
      <c r="I40" s="78">
        <f>VLOOKUP(A40,'Transporte - FU'!$A$3:$C$166,2,0)</f>
        <v>340030</v>
      </c>
      <c r="J40" s="80">
        <f>VLOOKUP(I40,CHP!$A$13:$D$215,3,0)</f>
        <v>356.01</v>
      </c>
      <c r="K40" s="78" t="s">
        <v>238</v>
      </c>
      <c r="L40" s="136"/>
      <c r="M40" s="81">
        <f t="shared" ref="M40" si="9">IFERROR(((C40*G40*H40)/$M$6+(D40*G40*H40)/$M$7)*J40*F40,0)+(F40*L40)</f>
        <v>0</v>
      </c>
    </row>
    <row r="41" spans="1:13" s="72" customFormat="1" ht="14.25" x14ac:dyDescent="0.2">
      <c r="A41" s="151">
        <v>320550</v>
      </c>
      <c r="B41" s="69" t="str">
        <f>VLOOKUP(A41, CHP!$A$13:D$215,2,0)</f>
        <v>Carreg. frontal pneus L 60-H média</v>
      </c>
      <c r="C41" s="77">
        <f t="shared" si="0"/>
        <v>197.96</v>
      </c>
      <c r="D41" s="77">
        <f t="shared" si="3"/>
        <v>0</v>
      </c>
      <c r="E41" s="88"/>
      <c r="F41" s="77">
        <f t="shared" si="4"/>
        <v>0</v>
      </c>
      <c r="G41" s="78">
        <f t="shared" si="5"/>
        <v>2</v>
      </c>
      <c r="H41" s="79">
        <f>VLOOKUP(A41,'Transporte - FU'!$A$3:$C$166,3,0)</f>
        <v>0.5</v>
      </c>
      <c r="I41" s="78" t="str">
        <f>VLOOKUP(A41,'Transporte - FU'!$A$3:$C$166,2,0)</f>
        <v>EQ001</v>
      </c>
      <c r="J41" s="80">
        <f>VLOOKUP(I41,CHP!$A$13:$D$215,3,0)</f>
        <v>434.55</v>
      </c>
      <c r="K41" s="78" t="s">
        <v>238</v>
      </c>
      <c r="L41" s="136"/>
      <c r="M41" s="81">
        <f t="shared" si="6"/>
        <v>0</v>
      </c>
    </row>
    <row r="42" spans="1:13" s="72" customFormat="1" ht="14.25" x14ac:dyDescent="0.2">
      <c r="A42" s="151">
        <v>319300</v>
      </c>
      <c r="B42" s="69" t="str">
        <f>VLOOKUP(A42, CHP!$A$13:D$215,2,0)</f>
        <v>Carreg. frontal pneus 924-K leve</v>
      </c>
      <c r="C42" s="77">
        <f t="shared" si="0"/>
        <v>197.96</v>
      </c>
      <c r="D42" s="77">
        <f t="shared" si="3"/>
        <v>0</v>
      </c>
      <c r="E42" s="88"/>
      <c r="F42" s="77">
        <f t="shared" si="4"/>
        <v>0</v>
      </c>
      <c r="G42" s="78">
        <f t="shared" si="5"/>
        <v>2</v>
      </c>
      <c r="H42" s="79">
        <f>VLOOKUP(A42,'Transporte - FU'!$A$3:$C$166,3,0)</f>
        <v>0.5</v>
      </c>
      <c r="I42" s="78" t="str">
        <f>VLOOKUP(A42,'Transporte - FU'!$A$3:$C$166,2,0)</f>
        <v>EQ001</v>
      </c>
      <c r="J42" s="80">
        <f>VLOOKUP(I42,CHP!$A$13:$D$215,3,0)</f>
        <v>434.55</v>
      </c>
      <c r="K42" s="78" t="s">
        <v>238</v>
      </c>
      <c r="L42" s="136"/>
      <c r="M42" s="81">
        <f t="shared" si="6"/>
        <v>0</v>
      </c>
    </row>
    <row r="43" spans="1:13" s="72" customFormat="1" ht="14.25" x14ac:dyDescent="0.2">
      <c r="A43" s="151">
        <v>329300</v>
      </c>
      <c r="B43" s="69" t="str">
        <f>VLOOKUP(A43, CHP!$A$13:D$215,2,0)</f>
        <v>Carreg. frontal pneus 924-K média</v>
      </c>
      <c r="C43" s="77">
        <f t="shared" si="0"/>
        <v>197.96</v>
      </c>
      <c r="D43" s="77">
        <f t="shared" si="3"/>
        <v>0</v>
      </c>
      <c r="E43" s="88"/>
      <c r="F43" s="77">
        <f t="shared" si="4"/>
        <v>0</v>
      </c>
      <c r="G43" s="78">
        <f t="shared" si="5"/>
        <v>2</v>
      </c>
      <c r="H43" s="79">
        <f>VLOOKUP(A43,'Transporte - FU'!$A$3:$C$166,3,0)</f>
        <v>0.5</v>
      </c>
      <c r="I43" s="78" t="str">
        <f>VLOOKUP(A43,'Transporte - FU'!$A$3:$C$166,2,0)</f>
        <v>EQ001</v>
      </c>
      <c r="J43" s="80">
        <f>VLOOKUP(I43,CHP!$A$13:$D$215,3,0)</f>
        <v>434.55</v>
      </c>
      <c r="K43" s="78" t="s">
        <v>238</v>
      </c>
      <c r="L43" s="136"/>
      <c r="M43" s="81">
        <f t="shared" si="6"/>
        <v>0</v>
      </c>
    </row>
    <row r="44" spans="1:13" s="72" customFormat="1" ht="14.25" x14ac:dyDescent="0.2">
      <c r="A44" s="151">
        <v>339300</v>
      </c>
      <c r="B44" s="69" t="str">
        <f>VLOOKUP(A44, CHP!$A$13:D$215,2,0)</f>
        <v>Carreg. frontal pneus 924-K severa</v>
      </c>
      <c r="C44" s="77">
        <f t="shared" si="0"/>
        <v>197.96</v>
      </c>
      <c r="D44" s="77">
        <f t="shared" si="3"/>
        <v>0</v>
      </c>
      <c r="E44" s="88"/>
      <c r="F44" s="77">
        <f t="shared" si="4"/>
        <v>0</v>
      </c>
      <c r="G44" s="78">
        <f t="shared" si="5"/>
        <v>2</v>
      </c>
      <c r="H44" s="79">
        <f>VLOOKUP(A44,'Transporte - FU'!$A$3:$C$166,3,0)</f>
        <v>0.5</v>
      </c>
      <c r="I44" s="78" t="str">
        <f>VLOOKUP(A44,'Transporte - FU'!$A$3:$C$166,2,0)</f>
        <v>EQ001</v>
      </c>
      <c r="J44" s="80">
        <f>VLOOKUP(I44,CHP!$A$13:$D$215,3,0)</f>
        <v>434.55</v>
      </c>
      <c r="K44" s="78" t="s">
        <v>238</v>
      </c>
      <c r="L44" s="136"/>
      <c r="M44" s="81">
        <f t="shared" si="6"/>
        <v>0</v>
      </c>
    </row>
    <row r="45" spans="1:13" s="72" customFormat="1" ht="14.25" x14ac:dyDescent="0.2">
      <c r="A45" s="151">
        <v>319660</v>
      </c>
      <c r="B45" s="69" t="str">
        <f>VLOOKUP(A45, CHP!$A$13:D$215,2,0)</f>
        <v>Carreg. frontal pneus 950-L leve</v>
      </c>
      <c r="C45" s="77">
        <f t="shared" si="0"/>
        <v>197.96</v>
      </c>
      <c r="D45" s="77">
        <f t="shared" si="3"/>
        <v>0</v>
      </c>
      <c r="E45" s="88"/>
      <c r="F45" s="77">
        <f t="shared" si="4"/>
        <v>0</v>
      </c>
      <c r="G45" s="78">
        <f t="shared" si="5"/>
        <v>2</v>
      </c>
      <c r="H45" s="79">
        <f>VLOOKUP(A45,'Transporte - FU'!$A$3:$C$166,3,0)</f>
        <v>0.5</v>
      </c>
      <c r="I45" s="78" t="str">
        <f>VLOOKUP(A45,'Transporte - FU'!$A$3:$C$166,2,0)</f>
        <v>EQ001</v>
      </c>
      <c r="J45" s="80">
        <f>VLOOKUP(I45,CHP!$A$13:$D$215,3,0)</f>
        <v>434.55</v>
      </c>
      <c r="K45" s="78" t="s">
        <v>238</v>
      </c>
      <c r="L45" s="136"/>
      <c r="M45" s="81">
        <f t="shared" si="6"/>
        <v>0</v>
      </c>
    </row>
    <row r="46" spans="1:13" s="72" customFormat="1" ht="14.25" x14ac:dyDescent="0.2">
      <c r="A46" s="151">
        <v>329660</v>
      </c>
      <c r="B46" s="69" t="str">
        <f>VLOOKUP(A46, CHP!$A$13:D$215,2,0)</f>
        <v>Carreg. frontal pneus 950-L média</v>
      </c>
      <c r="C46" s="77">
        <f t="shared" si="0"/>
        <v>197.96</v>
      </c>
      <c r="D46" s="77">
        <f t="shared" si="3"/>
        <v>0</v>
      </c>
      <c r="E46" s="88"/>
      <c r="F46" s="77">
        <f t="shared" si="4"/>
        <v>0</v>
      </c>
      <c r="G46" s="78">
        <f t="shared" si="5"/>
        <v>2</v>
      </c>
      <c r="H46" s="79">
        <f>VLOOKUP(A46,'Transporte - FU'!$A$3:$C$166,3,0)</f>
        <v>0.5</v>
      </c>
      <c r="I46" s="78" t="str">
        <f>VLOOKUP(A46,'Transporte - FU'!$A$3:$C$166,2,0)</f>
        <v>EQ001</v>
      </c>
      <c r="J46" s="80">
        <f>VLOOKUP(I46,CHP!$A$13:$D$215,3,0)</f>
        <v>434.55</v>
      </c>
      <c r="K46" s="78" t="s">
        <v>238</v>
      </c>
      <c r="L46" s="136"/>
      <c r="M46" s="81">
        <f t="shared" si="6"/>
        <v>0</v>
      </c>
    </row>
    <row r="47" spans="1:13" s="72" customFormat="1" ht="14.25" x14ac:dyDescent="0.2">
      <c r="A47" s="151">
        <v>339660</v>
      </c>
      <c r="B47" s="69" t="str">
        <f>VLOOKUP(A47, CHP!$A$13:D$215,2,0)</f>
        <v>Carreg. frontal pneus 950-L severa</v>
      </c>
      <c r="C47" s="77">
        <f t="shared" si="0"/>
        <v>197.96</v>
      </c>
      <c r="D47" s="77">
        <f t="shared" si="3"/>
        <v>0</v>
      </c>
      <c r="E47" s="88"/>
      <c r="F47" s="77">
        <f t="shared" si="4"/>
        <v>0</v>
      </c>
      <c r="G47" s="78">
        <f t="shared" si="5"/>
        <v>2</v>
      </c>
      <c r="H47" s="79">
        <f>VLOOKUP(A47,'Transporte - FU'!$A$3:$C$166,3,0)</f>
        <v>0.5</v>
      </c>
      <c r="I47" s="78" t="str">
        <f>VLOOKUP(A47,'Transporte - FU'!$A$3:$C$166,2,0)</f>
        <v>EQ001</v>
      </c>
      <c r="J47" s="80">
        <f>VLOOKUP(I47,CHP!$A$13:$D$215,3,0)</f>
        <v>434.55</v>
      </c>
      <c r="K47" s="78" t="s">
        <v>238</v>
      </c>
      <c r="L47" s="136"/>
      <c r="M47" s="81">
        <f t="shared" si="6"/>
        <v>0</v>
      </c>
    </row>
    <row r="48" spans="1:13" s="72" customFormat="1" ht="14.25" x14ac:dyDescent="0.2">
      <c r="A48" s="151">
        <v>306010</v>
      </c>
      <c r="B48" s="69" t="str">
        <f>VLOOKUP(A48, CHP!$A$13:D$215,2,0)</f>
        <v>Carreta de perfuração</v>
      </c>
      <c r="C48" s="77">
        <f t="shared" si="0"/>
        <v>197.96</v>
      </c>
      <c r="D48" s="77">
        <f t="shared" si="3"/>
        <v>0</v>
      </c>
      <c r="E48" s="88"/>
      <c r="F48" s="77">
        <f t="shared" si="4"/>
        <v>0</v>
      </c>
      <c r="G48" s="78">
        <f t="shared" si="5"/>
        <v>2</v>
      </c>
      <c r="H48" s="79">
        <f>VLOOKUP(A48,'Transporte - FU'!$A$3:$C$166,3,0)</f>
        <v>0.5</v>
      </c>
      <c r="I48" s="78" t="str">
        <f>VLOOKUP(A48,'Transporte - FU'!$A$3:$C$166,2,0)</f>
        <v>EQ001</v>
      </c>
      <c r="J48" s="80">
        <f>VLOOKUP(I48,CHP!$A$13:$D$215,3,0)</f>
        <v>434.55</v>
      </c>
      <c r="K48" s="78" t="s">
        <v>238</v>
      </c>
      <c r="L48" s="136"/>
      <c r="M48" s="81">
        <f t="shared" si="6"/>
        <v>0</v>
      </c>
    </row>
    <row r="49" spans="1:13" s="72" customFormat="1" ht="14.25" x14ac:dyDescent="0.2">
      <c r="A49" s="151">
        <v>310030</v>
      </c>
      <c r="B49" s="69" t="str">
        <f>VLOOKUP(A49, CHP!$A$13:D$215,2,0)</f>
        <v>Central dosadora de concreto capac. 30 m3/h</v>
      </c>
      <c r="C49" s="77">
        <f t="shared" si="0"/>
        <v>197.96</v>
      </c>
      <c r="D49" s="77">
        <f t="shared" si="3"/>
        <v>0</v>
      </c>
      <c r="E49" s="88"/>
      <c r="F49" s="77">
        <f t="shared" si="4"/>
        <v>0</v>
      </c>
      <c r="G49" s="78">
        <f t="shared" si="5"/>
        <v>2</v>
      </c>
      <c r="H49" s="79">
        <f>VLOOKUP(A49,'Transporte - FU'!$A$3:$C$166,3,0)</f>
        <v>1</v>
      </c>
      <c r="I49" s="78" t="str">
        <f>VLOOKUP(A49,'Transporte - FU'!$A$3:$C$166,2,0)</f>
        <v>EQ001</v>
      </c>
      <c r="J49" s="80">
        <f>VLOOKUP(I49,CHP!$A$13:$D$215,3,0)</f>
        <v>434.55</v>
      </c>
      <c r="K49" s="78" t="s">
        <v>238</v>
      </c>
      <c r="L49" s="136"/>
      <c r="M49" s="81">
        <f t="shared" si="6"/>
        <v>0</v>
      </c>
    </row>
    <row r="50" spans="1:13" s="72" customFormat="1" ht="28.5" x14ac:dyDescent="0.2">
      <c r="A50" s="151">
        <v>300125</v>
      </c>
      <c r="B50" s="69" t="str">
        <f>VLOOKUP(A50, CHP!$A$13:D$215,2,0)</f>
        <v>Central dosadora de Concreto capacidade 150m³/h - Dosadora e misturadora</v>
      </c>
      <c r="C50" s="77">
        <f t="shared" si="0"/>
        <v>197.96</v>
      </c>
      <c r="D50" s="77">
        <f t="shared" si="3"/>
        <v>0</v>
      </c>
      <c r="E50" s="88"/>
      <c r="F50" s="77">
        <f t="shared" si="4"/>
        <v>0</v>
      </c>
      <c r="G50" s="78">
        <f t="shared" si="5"/>
        <v>2</v>
      </c>
      <c r="H50" s="79">
        <f>VLOOKUP(A50,'Transporte - FU'!$A$3:$C$166,3,0)</f>
        <v>1</v>
      </c>
      <c r="I50" s="78" t="str">
        <f>VLOOKUP(A50,'Transporte - FU'!$A$3:$C$166,2,0)</f>
        <v>EQ001</v>
      </c>
      <c r="J50" s="80">
        <f>VLOOKUP(I50,CHP!$A$13:$D$215,3,0)</f>
        <v>434.55</v>
      </c>
      <c r="K50" s="78" t="s">
        <v>238</v>
      </c>
      <c r="L50" s="136"/>
      <c r="M50" s="81">
        <f t="shared" si="6"/>
        <v>0</v>
      </c>
    </row>
    <row r="51" spans="1:13" s="72" customFormat="1" ht="14.25" x14ac:dyDescent="0.2">
      <c r="A51" s="151">
        <v>300510</v>
      </c>
      <c r="B51" s="69" t="str">
        <f>VLOOKUP(A51, CHP!$A$13:D$215,2,0)</f>
        <v>Conj. britagem completo 80 m3/h</v>
      </c>
      <c r="C51" s="77">
        <f t="shared" si="0"/>
        <v>197.96</v>
      </c>
      <c r="D51" s="77">
        <f t="shared" si="3"/>
        <v>0</v>
      </c>
      <c r="E51" s="88"/>
      <c r="F51" s="77">
        <f t="shared" si="4"/>
        <v>0</v>
      </c>
      <c r="G51" s="78">
        <f t="shared" si="5"/>
        <v>2</v>
      </c>
      <c r="H51" s="79">
        <f>VLOOKUP(A51,'Transporte - FU'!$A$3:$C$166,3,0)</f>
        <v>1</v>
      </c>
      <c r="I51" s="78" t="str">
        <f>VLOOKUP(A51,'Transporte - FU'!$A$3:$C$166,2,0)</f>
        <v>EQ001</v>
      </c>
      <c r="J51" s="80">
        <f>VLOOKUP(I51,CHP!$A$13:$D$215,3,0)</f>
        <v>434.55</v>
      </c>
      <c r="K51" s="78" t="s">
        <v>238</v>
      </c>
      <c r="L51" s="136"/>
      <c r="M51" s="81">
        <f t="shared" si="6"/>
        <v>0</v>
      </c>
    </row>
    <row r="52" spans="1:13" s="72" customFormat="1" ht="14.25" x14ac:dyDescent="0.2">
      <c r="A52" s="151">
        <v>370400</v>
      </c>
      <c r="B52" s="69" t="str">
        <f>VLOOKUP(A52, CHP!$A$13:D$215,2,0)</f>
        <v>Equipamento aplicação termoplástico Spray/Extrusão</v>
      </c>
      <c r="C52" s="77">
        <f t="shared" si="0"/>
        <v>197.96</v>
      </c>
      <c r="D52" s="77">
        <f t="shared" si="3"/>
        <v>0</v>
      </c>
      <c r="E52" s="88"/>
      <c r="F52" s="77">
        <f t="shared" si="4"/>
        <v>0</v>
      </c>
      <c r="G52" s="78">
        <f t="shared" si="5"/>
        <v>1</v>
      </c>
      <c r="H52" s="79">
        <f>VLOOKUP(A52,'Transporte - FU'!$A$3:$C$166,3,0)</f>
        <v>1</v>
      </c>
      <c r="I52" s="78">
        <f>VLOOKUP(A52,'Transporte - FU'!$A$3:$C$166,2,0)</f>
        <v>370400</v>
      </c>
      <c r="J52" s="80">
        <f>VLOOKUP(I52,CHP!$A$13:$D$215,3,0)</f>
        <v>184.07</v>
      </c>
      <c r="K52" s="78" t="s">
        <v>238</v>
      </c>
      <c r="L52" s="136"/>
      <c r="M52" s="81">
        <f t="shared" si="6"/>
        <v>0</v>
      </c>
    </row>
    <row r="53" spans="1:13" s="72" customFormat="1" ht="14.25" x14ac:dyDescent="0.2">
      <c r="A53" s="151">
        <v>370700</v>
      </c>
      <c r="B53" s="69" t="str">
        <f>VLOOKUP(A53, CHP!$A$13:D$215,2,0)</f>
        <v>Equipamento demarcação faixa a frio</v>
      </c>
      <c r="C53" s="77">
        <f t="shared" si="0"/>
        <v>197.96</v>
      </c>
      <c r="D53" s="77">
        <f t="shared" si="3"/>
        <v>0</v>
      </c>
      <c r="E53" s="88"/>
      <c r="F53" s="77">
        <f t="shared" si="4"/>
        <v>0</v>
      </c>
      <c r="G53" s="78">
        <f t="shared" si="5"/>
        <v>1</v>
      </c>
      <c r="H53" s="79">
        <f>VLOOKUP(A53,'Transporte - FU'!$A$3:$C$166,3,0)</f>
        <v>1</v>
      </c>
      <c r="I53" s="78">
        <f>VLOOKUP(A53,'Transporte - FU'!$A$3:$C$166,2,0)</f>
        <v>370700</v>
      </c>
      <c r="J53" s="80">
        <f>VLOOKUP(I53,CHP!$A$13:$D$215,3,0)</f>
        <v>131.22</v>
      </c>
      <c r="K53" s="78" t="s">
        <v>238</v>
      </c>
      <c r="L53" s="136"/>
      <c r="M53" s="81">
        <f t="shared" si="6"/>
        <v>0</v>
      </c>
    </row>
    <row r="54" spans="1:13" s="72" customFormat="1" ht="14.25" x14ac:dyDescent="0.2">
      <c r="A54" s="151">
        <v>316000</v>
      </c>
      <c r="B54" s="69" t="str">
        <f>VLOOKUP(A54, CHP!$A$13:D$215,2,0)</f>
        <v>Equipamento p/ hidrossemeadura</v>
      </c>
      <c r="C54" s="77">
        <f t="shared" si="0"/>
        <v>197.96</v>
      </c>
      <c r="D54" s="77">
        <f t="shared" si="3"/>
        <v>0</v>
      </c>
      <c r="E54" s="88"/>
      <c r="F54" s="77">
        <f t="shared" si="4"/>
        <v>0</v>
      </c>
      <c r="G54" s="78">
        <f t="shared" si="5"/>
        <v>1</v>
      </c>
      <c r="H54" s="79">
        <f>VLOOKUP(A54,'Transporte - FU'!$A$3:$C$166,3,0)</f>
        <v>1</v>
      </c>
      <c r="I54" s="78">
        <f>VLOOKUP(A54,'Transporte - FU'!$A$3:$C$166,2,0)</f>
        <v>316000</v>
      </c>
      <c r="J54" s="80">
        <f>VLOOKUP(I54,CHP!$A$13:$D$215,3,0)</f>
        <v>52.96</v>
      </c>
      <c r="K54" s="78" t="s">
        <v>238</v>
      </c>
      <c r="L54" s="136"/>
      <c r="M54" s="81">
        <f t="shared" si="6"/>
        <v>0</v>
      </c>
    </row>
    <row r="55" spans="1:13" s="72" customFormat="1" ht="14.25" x14ac:dyDescent="0.2">
      <c r="A55" s="151">
        <v>370150</v>
      </c>
      <c r="B55" s="69" t="str">
        <f>VLOOKUP(A55, CHP!$A$13:D$215,2,0)</f>
        <v>Equipamento para lama asfáltica LA-6</v>
      </c>
      <c r="C55" s="77">
        <f t="shared" si="0"/>
        <v>197.96</v>
      </c>
      <c r="D55" s="77">
        <f t="shared" si="3"/>
        <v>0</v>
      </c>
      <c r="E55" s="88"/>
      <c r="F55" s="77">
        <f t="shared" si="4"/>
        <v>0</v>
      </c>
      <c r="G55" s="78">
        <f t="shared" si="5"/>
        <v>1</v>
      </c>
      <c r="H55" s="79">
        <f>VLOOKUP(A55,'Transporte - FU'!$A$3:$C$166,3,0)</f>
        <v>1</v>
      </c>
      <c r="I55" s="78">
        <f>VLOOKUP(A55,'Transporte - FU'!$A$3:$C$166,2,0)</f>
        <v>370150</v>
      </c>
      <c r="J55" s="80">
        <f>VLOOKUP(I55,CHP!$A$13:$D$215,3,0)</f>
        <v>267.83999999999997</v>
      </c>
      <c r="K55" s="78" t="s">
        <v>238</v>
      </c>
      <c r="L55" s="136"/>
      <c r="M55" s="81">
        <f t="shared" si="6"/>
        <v>0</v>
      </c>
    </row>
    <row r="56" spans="1:13" s="72" customFormat="1" ht="14.25" x14ac:dyDescent="0.2">
      <c r="A56" s="151">
        <v>370600</v>
      </c>
      <c r="B56" s="69" t="str">
        <f>VLOOKUP(A56, CHP!$A$13:D$215,2,0)</f>
        <v>Equipamento p/fusão e aplicação manual de termoplástico</v>
      </c>
      <c r="C56" s="77">
        <f t="shared" si="0"/>
        <v>197.96</v>
      </c>
      <c r="D56" s="77">
        <f t="shared" si="3"/>
        <v>0</v>
      </c>
      <c r="E56" s="88"/>
      <c r="F56" s="77">
        <f t="shared" si="4"/>
        <v>0</v>
      </c>
      <c r="G56" s="78">
        <f t="shared" si="5"/>
        <v>2</v>
      </c>
      <c r="H56" s="79">
        <f>VLOOKUP(A56,'Transporte - FU'!$A$3:$C$166,3,0)</f>
        <v>0.33</v>
      </c>
      <c r="I56" s="78" t="str">
        <f>VLOOKUP(A56,'Transporte - FU'!$A$3:$C$166,2,0)</f>
        <v>EQ001</v>
      </c>
      <c r="J56" s="80">
        <f>VLOOKUP(I56,CHP!$A$13:$D$215,3,0)</f>
        <v>434.55</v>
      </c>
      <c r="K56" s="78" t="s">
        <v>238</v>
      </c>
      <c r="L56" s="136"/>
      <c r="M56" s="81">
        <f t="shared" si="6"/>
        <v>0</v>
      </c>
    </row>
    <row r="57" spans="1:13" s="72" customFormat="1" ht="14.25" x14ac:dyDescent="0.2">
      <c r="A57" s="151">
        <v>311500</v>
      </c>
      <c r="B57" s="69" t="str">
        <f>VLOOKUP(A57, CHP!$A$13:D$215,2,0)</f>
        <v>Escav. hidráulica EC-140 leve</v>
      </c>
      <c r="C57" s="77">
        <f t="shared" si="0"/>
        <v>197.96</v>
      </c>
      <c r="D57" s="77">
        <f t="shared" si="3"/>
        <v>0</v>
      </c>
      <c r="E57" s="88"/>
      <c r="F57" s="77">
        <f t="shared" si="4"/>
        <v>0</v>
      </c>
      <c r="G57" s="78">
        <f t="shared" si="5"/>
        <v>2</v>
      </c>
      <c r="H57" s="79">
        <f>VLOOKUP(A57,'Transporte - FU'!$A$3:$C$166,3,0)</f>
        <v>1</v>
      </c>
      <c r="I57" s="78" t="str">
        <f>VLOOKUP(A57,'Transporte - FU'!$A$3:$C$166,2,0)</f>
        <v>EQ001</v>
      </c>
      <c r="J57" s="80">
        <f>VLOOKUP(I57,CHP!$A$13:$D$215,3,0)</f>
        <v>434.55</v>
      </c>
      <c r="K57" s="78" t="s">
        <v>238</v>
      </c>
      <c r="L57" s="136"/>
      <c r="M57" s="81">
        <f t="shared" si="6"/>
        <v>0</v>
      </c>
    </row>
    <row r="58" spans="1:13" s="72" customFormat="1" ht="14.25" x14ac:dyDescent="0.2">
      <c r="A58" s="151">
        <v>321500</v>
      </c>
      <c r="B58" s="69" t="str">
        <f>VLOOKUP(A58, CHP!$A$13:D$215,2,0)</f>
        <v>Escav. hidráulica EC-140 média</v>
      </c>
      <c r="C58" s="77">
        <f t="shared" si="0"/>
        <v>197.96</v>
      </c>
      <c r="D58" s="77">
        <f t="shared" si="3"/>
        <v>0</v>
      </c>
      <c r="E58" s="88"/>
      <c r="F58" s="77">
        <f t="shared" si="4"/>
        <v>0</v>
      </c>
      <c r="G58" s="78">
        <f t="shared" si="5"/>
        <v>2</v>
      </c>
      <c r="H58" s="79">
        <f>VLOOKUP(A58,'Transporte - FU'!$A$3:$C$166,3,0)</f>
        <v>1</v>
      </c>
      <c r="I58" s="78" t="str">
        <f>VLOOKUP(A58,'Transporte - FU'!$A$3:$C$166,2,0)</f>
        <v>EQ001</v>
      </c>
      <c r="J58" s="80">
        <f>VLOOKUP(I58,CHP!$A$13:$D$215,3,0)</f>
        <v>434.55</v>
      </c>
      <c r="K58" s="78" t="s">
        <v>238</v>
      </c>
      <c r="L58" s="136"/>
      <c r="M58" s="81">
        <f t="shared" si="6"/>
        <v>0</v>
      </c>
    </row>
    <row r="59" spans="1:13" s="72" customFormat="1" ht="14.25" x14ac:dyDescent="0.2">
      <c r="A59" s="151">
        <v>331500</v>
      </c>
      <c r="B59" s="69" t="str">
        <f>VLOOKUP(A59, CHP!$A$13:D$215,2,0)</f>
        <v>Escav. hidráulica EC-140 severa</v>
      </c>
      <c r="C59" s="77">
        <f t="shared" si="0"/>
        <v>197.96</v>
      </c>
      <c r="D59" s="77">
        <f t="shared" si="3"/>
        <v>0</v>
      </c>
      <c r="E59" s="88"/>
      <c r="F59" s="77">
        <f t="shared" si="4"/>
        <v>0</v>
      </c>
      <c r="G59" s="78">
        <f t="shared" si="5"/>
        <v>2</v>
      </c>
      <c r="H59" s="79">
        <f>VLOOKUP(A59,'Transporte - FU'!$A$3:$C$166,3,0)</f>
        <v>1</v>
      </c>
      <c r="I59" s="78" t="str">
        <f>VLOOKUP(A59,'Transporte - FU'!$A$3:$C$166,2,0)</f>
        <v>EQ001</v>
      </c>
      <c r="J59" s="80">
        <f>VLOOKUP(I59,CHP!$A$13:$D$215,3,0)</f>
        <v>434.55</v>
      </c>
      <c r="K59" s="78" t="s">
        <v>238</v>
      </c>
      <c r="L59" s="136"/>
      <c r="M59" s="81">
        <f t="shared" si="6"/>
        <v>0</v>
      </c>
    </row>
    <row r="60" spans="1:13" s="72" customFormat="1" ht="14.25" x14ac:dyDescent="0.2">
      <c r="A60" s="151">
        <v>310800</v>
      </c>
      <c r="B60" s="69" t="str">
        <f>VLOOKUP(A60, CHP!$A$13:D$215,2,0)</f>
        <v>Escav. hidráulica 580N leve</v>
      </c>
      <c r="C60" s="77">
        <f t="shared" si="0"/>
        <v>197.96</v>
      </c>
      <c r="D60" s="77">
        <f t="shared" si="3"/>
        <v>0</v>
      </c>
      <c r="E60" s="88"/>
      <c r="F60" s="77">
        <f t="shared" si="4"/>
        <v>0</v>
      </c>
      <c r="G60" s="78">
        <f t="shared" si="5"/>
        <v>2</v>
      </c>
      <c r="H60" s="79">
        <f>VLOOKUP(A60,'Transporte - FU'!$A$3:$C$166,3,0)</f>
        <v>1</v>
      </c>
      <c r="I60" s="78" t="str">
        <f>VLOOKUP(A60,'Transporte - FU'!$A$3:$C$166,2,0)</f>
        <v>EQ001</v>
      </c>
      <c r="J60" s="80">
        <f>VLOOKUP(I60,CHP!$A$13:$D$215,3,0)</f>
        <v>434.55</v>
      </c>
      <c r="K60" s="78" t="s">
        <v>238</v>
      </c>
      <c r="L60" s="136"/>
      <c r="M60" s="81">
        <f t="shared" si="6"/>
        <v>0</v>
      </c>
    </row>
    <row r="61" spans="1:13" s="72" customFormat="1" ht="14.25" x14ac:dyDescent="0.2">
      <c r="A61" s="151">
        <v>320800</v>
      </c>
      <c r="B61" s="69" t="str">
        <f>VLOOKUP(A61, CHP!$A$13:D$215,2,0)</f>
        <v>Escav. hidráulica 580N C média</v>
      </c>
      <c r="C61" s="77">
        <f t="shared" si="0"/>
        <v>197.96</v>
      </c>
      <c r="D61" s="77">
        <f t="shared" si="3"/>
        <v>0</v>
      </c>
      <c r="E61" s="88"/>
      <c r="F61" s="77">
        <f t="shared" si="4"/>
        <v>0</v>
      </c>
      <c r="G61" s="78">
        <f t="shared" si="5"/>
        <v>2</v>
      </c>
      <c r="H61" s="79">
        <f>VLOOKUP(A61,'Transporte - FU'!$A$3:$C$166,3,0)</f>
        <v>1</v>
      </c>
      <c r="I61" s="78" t="str">
        <f>VLOOKUP(A61,'Transporte - FU'!$A$3:$C$166,2,0)</f>
        <v>EQ001</v>
      </c>
      <c r="J61" s="80">
        <f>VLOOKUP(I61,CHP!$A$13:$D$215,3,0)</f>
        <v>434.55</v>
      </c>
      <c r="K61" s="78" t="s">
        <v>238</v>
      </c>
      <c r="L61" s="136"/>
      <c r="M61" s="81">
        <f t="shared" si="6"/>
        <v>0</v>
      </c>
    </row>
    <row r="62" spans="1:13" s="72" customFormat="1" ht="14.25" x14ac:dyDescent="0.2">
      <c r="A62" s="151">
        <v>330800</v>
      </c>
      <c r="B62" s="69" t="str">
        <f>VLOOKUP(A62, CHP!$A$13:D$215,2,0)</f>
        <v>Escav. hidráulica 580N C severa</v>
      </c>
      <c r="C62" s="77">
        <f t="shared" si="0"/>
        <v>197.96</v>
      </c>
      <c r="D62" s="77">
        <f t="shared" si="3"/>
        <v>0</v>
      </c>
      <c r="E62" s="88"/>
      <c r="F62" s="77">
        <f t="shared" si="4"/>
        <v>0</v>
      </c>
      <c r="G62" s="78">
        <f t="shared" si="5"/>
        <v>2</v>
      </c>
      <c r="H62" s="79">
        <f>VLOOKUP(A62,'Transporte - FU'!$A$3:$C$166,3,0)</f>
        <v>1</v>
      </c>
      <c r="I62" s="78" t="str">
        <f>VLOOKUP(A62,'Transporte - FU'!$A$3:$C$166,2,0)</f>
        <v>EQ001</v>
      </c>
      <c r="J62" s="80">
        <f>VLOOKUP(I62,CHP!$A$13:$D$215,3,0)</f>
        <v>434.55</v>
      </c>
      <c r="K62" s="78" t="s">
        <v>238</v>
      </c>
      <c r="L62" s="136"/>
      <c r="M62" s="81">
        <f t="shared" si="6"/>
        <v>0</v>
      </c>
    </row>
    <row r="63" spans="1:13" s="72" customFormat="1" ht="14.25" x14ac:dyDescent="0.2">
      <c r="A63" s="151">
        <v>313200</v>
      </c>
      <c r="B63" s="69" t="str">
        <f>VLOOKUP(A63, CHP!$A$13:D$215,2,0)</f>
        <v>Escav. hidráulica 320D L leve</v>
      </c>
      <c r="C63" s="77">
        <f t="shared" si="0"/>
        <v>197.96</v>
      </c>
      <c r="D63" s="77">
        <f t="shared" si="3"/>
        <v>0</v>
      </c>
      <c r="E63" s="88"/>
      <c r="F63" s="77">
        <f t="shared" si="4"/>
        <v>0</v>
      </c>
      <c r="G63" s="78">
        <f t="shared" si="5"/>
        <v>2</v>
      </c>
      <c r="H63" s="79">
        <f>VLOOKUP(A63,'Transporte - FU'!$A$3:$C$166,3,0)</f>
        <v>1</v>
      </c>
      <c r="I63" s="78" t="str">
        <f>VLOOKUP(A63,'Transporte - FU'!$A$3:$C$166,2,0)</f>
        <v>EQ001</v>
      </c>
      <c r="J63" s="80">
        <f>VLOOKUP(I63,CHP!$A$13:$D$215,3,0)</f>
        <v>434.55</v>
      </c>
      <c r="K63" s="78" t="s">
        <v>238</v>
      </c>
      <c r="L63" s="136"/>
      <c r="M63" s="81">
        <f t="shared" si="6"/>
        <v>0</v>
      </c>
    </row>
    <row r="64" spans="1:13" s="72" customFormat="1" ht="14.25" x14ac:dyDescent="0.2">
      <c r="A64" s="151">
        <v>323200</v>
      </c>
      <c r="B64" s="69" t="str">
        <f>VLOOKUP(A64, CHP!$A$13:D$215,2,0)</f>
        <v>Escav. hidráulica 320D L média</v>
      </c>
      <c r="C64" s="77">
        <f t="shared" si="0"/>
        <v>197.96</v>
      </c>
      <c r="D64" s="77">
        <f t="shared" si="3"/>
        <v>0</v>
      </c>
      <c r="E64" s="88"/>
      <c r="F64" s="77">
        <f t="shared" si="4"/>
        <v>0</v>
      </c>
      <c r="G64" s="78">
        <f t="shared" si="5"/>
        <v>2</v>
      </c>
      <c r="H64" s="79">
        <f>VLOOKUP(A64,'Transporte - FU'!$A$3:$C$166,3,0)</f>
        <v>1</v>
      </c>
      <c r="I64" s="78" t="str">
        <f>VLOOKUP(A64,'Transporte - FU'!$A$3:$C$166,2,0)</f>
        <v>EQ001</v>
      </c>
      <c r="J64" s="80">
        <f>VLOOKUP(I64,CHP!$A$13:$D$215,3,0)</f>
        <v>434.55</v>
      </c>
      <c r="K64" s="78" t="s">
        <v>238</v>
      </c>
      <c r="L64" s="136"/>
      <c r="M64" s="81">
        <f t="shared" si="6"/>
        <v>0</v>
      </c>
    </row>
    <row r="65" spans="1:13" s="72" customFormat="1" ht="14.25" x14ac:dyDescent="0.2">
      <c r="A65" s="151">
        <v>333200</v>
      </c>
      <c r="B65" s="69" t="str">
        <f>VLOOKUP(A65, CHP!$A$13:D$215,2,0)</f>
        <v>Escav. hidráulica 320D L severa</v>
      </c>
      <c r="C65" s="77">
        <f t="shared" si="0"/>
        <v>197.96</v>
      </c>
      <c r="D65" s="77">
        <f t="shared" si="3"/>
        <v>0</v>
      </c>
      <c r="E65" s="88"/>
      <c r="F65" s="77">
        <f t="shared" si="4"/>
        <v>0</v>
      </c>
      <c r="G65" s="78">
        <f t="shared" si="5"/>
        <v>2</v>
      </c>
      <c r="H65" s="79">
        <f>VLOOKUP(A65,'Transporte - FU'!$A$3:$C$166,3,0)</f>
        <v>1</v>
      </c>
      <c r="I65" s="78" t="str">
        <f>VLOOKUP(A65,'Transporte - FU'!$A$3:$C$166,2,0)</f>
        <v>EQ001</v>
      </c>
      <c r="J65" s="80">
        <f>VLOOKUP(I65,CHP!$A$13:$D$215,3,0)</f>
        <v>434.55</v>
      </c>
      <c r="K65" s="78" t="s">
        <v>238</v>
      </c>
      <c r="L65" s="136"/>
      <c r="M65" s="81">
        <f t="shared" si="6"/>
        <v>0</v>
      </c>
    </row>
    <row r="66" spans="1:13" s="72" customFormat="1" ht="14.25" x14ac:dyDescent="0.2">
      <c r="A66" s="151">
        <v>313300</v>
      </c>
      <c r="B66" s="69" t="str">
        <f>VLOOKUP(A66, CHP!$A$13:D$215,2,0)</f>
        <v>Escav. hidráulica 336D L leve</v>
      </c>
      <c r="C66" s="77">
        <f t="shared" si="0"/>
        <v>197.96</v>
      </c>
      <c r="D66" s="77">
        <f t="shared" si="3"/>
        <v>0</v>
      </c>
      <c r="E66" s="88"/>
      <c r="F66" s="77">
        <f t="shared" si="4"/>
        <v>0</v>
      </c>
      <c r="G66" s="78">
        <f t="shared" si="5"/>
        <v>2</v>
      </c>
      <c r="H66" s="79">
        <f>VLOOKUP(A66,'Transporte - FU'!$A$3:$C$166,3,0)</f>
        <v>1</v>
      </c>
      <c r="I66" s="78" t="str">
        <f>VLOOKUP(A66,'Transporte - FU'!$A$3:$C$166,2,0)</f>
        <v>EQ001</v>
      </c>
      <c r="J66" s="80">
        <f>VLOOKUP(I66,CHP!$A$13:$D$215,3,0)</f>
        <v>434.55</v>
      </c>
      <c r="K66" s="78" t="s">
        <v>238</v>
      </c>
      <c r="L66" s="136"/>
      <c r="M66" s="81">
        <f t="shared" si="6"/>
        <v>0</v>
      </c>
    </row>
    <row r="67" spans="1:13" s="72" customFormat="1" ht="14.25" x14ac:dyDescent="0.2">
      <c r="A67" s="151">
        <v>323300</v>
      </c>
      <c r="B67" s="69" t="str">
        <f>VLOOKUP(A67, CHP!$A$13:D$215,2,0)</f>
        <v>Escav. hidráulica 336D L média</v>
      </c>
      <c r="C67" s="77">
        <f t="shared" si="0"/>
        <v>197.96</v>
      </c>
      <c r="D67" s="77">
        <f t="shared" si="3"/>
        <v>0</v>
      </c>
      <c r="E67" s="88"/>
      <c r="F67" s="77">
        <f t="shared" si="4"/>
        <v>0</v>
      </c>
      <c r="G67" s="78">
        <f t="shared" si="5"/>
        <v>2</v>
      </c>
      <c r="H67" s="79">
        <f>VLOOKUP(A67,'Transporte - FU'!$A$3:$C$166,3,0)</f>
        <v>1</v>
      </c>
      <c r="I67" s="78" t="str">
        <f>VLOOKUP(A67,'Transporte - FU'!$A$3:$C$166,2,0)</f>
        <v>EQ001</v>
      </c>
      <c r="J67" s="80">
        <f>VLOOKUP(I67,CHP!$A$13:$D$215,3,0)</f>
        <v>434.55</v>
      </c>
      <c r="K67" s="78" t="s">
        <v>238</v>
      </c>
      <c r="L67" s="136"/>
      <c r="M67" s="81">
        <f t="shared" si="6"/>
        <v>0</v>
      </c>
    </row>
    <row r="68" spans="1:13" s="72" customFormat="1" ht="14.25" x14ac:dyDescent="0.2">
      <c r="A68" s="151">
        <v>333300</v>
      </c>
      <c r="B68" s="69" t="str">
        <f>VLOOKUP(A68, CHP!$A$13:D$215,2,0)</f>
        <v>Escav. hidráulica 336D L severa</v>
      </c>
      <c r="C68" s="77">
        <f t="shared" si="0"/>
        <v>197.96</v>
      </c>
      <c r="D68" s="77">
        <f t="shared" si="3"/>
        <v>0</v>
      </c>
      <c r="E68" s="88"/>
      <c r="F68" s="77">
        <f t="shared" si="4"/>
        <v>0</v>
      </c>
      <c r="G68" s="78">
        <f t="shared" si="5"/>
        <v>2</v>
      </c>
      <c r="H68" s="79">
        <f>VLOOKUP(A68,'Transporte - FU'!$A$3:$C$166,3,0)</f>
        <v>1</v>
      </c>
      <c r="I68" s="78" t="str">
        <f>VLOOKUP(A68,'Transporte - FU'!$A$3:$C$166,2,0)</f>
        <v>EQ001</v>
      </c>
      <c r="J68" s="80">
        <f>VLOOKUP(I68,CHP!$A$13:$D$215,3,0)</f>
        <v>434.55</v>
      </c>
      <c r="K68" s="78" t="s">
        <v>238</v>
      </c>
      <c r="L68" s="136"/>
      <c r="M68" s="81">
        <f t="shared" si="6"/>
        <v>0</v>
      </c>
    </row>
    <row r="69" spans="1:13" s="72" customFormat="1" ht="14.25" x14ac:dyDescent="0.2">
      <c r="A69" s="151">
        <v>370060</v>
      </c>
      <c r="B69" s="69" t="str">
        <f>VLOOKUP(A69, CHP!$A$13:D$215,2,0)</f>
        <v>Espargidor de asfalto 6000 l</v>
      </c>
      <c r="C69" s="77">
        <f t="shared" si="0"/>
        <v>197.96</v>
      </c>
      <c r="D69" s="77">
        <f t="shared" si="3"/>
        <v>0</v>
      </c>
      <c r="E69" s="88"/>
      <c r="F69" s="77">
        <f t="shared" si="4"/>
        <v>0</v>
      </c>
      <c r="G69" s="78">
        <f t="shared" si="5"/>
        <v>1</v>
      </c>
      <c r="H69" s="79">
        <f>VLOOKUP(A69,'Transporte - FU'!$A$3:$C$166,3,0)</f>
        <v>1</v>
      </c>
      <c r="I69" s="78">
        <f>VLOOKUP(A69,'Transporte - FU'!$A$3:$C$166,2,0)</f>
        <v>370060</v>
      </c>
      <c r="J69" s="80">
        <f>VLOOKUP(I69,CHP!$A$13:$D$215,3,0)</f>
        <v>131.88999999999999</v>
      </c>
      <c r="K69" s="78" t="s">
        <v>238</v>
      </c>
      <c r="L69" s="136"/>
      <c r="M69" s="81">
        <f t="shared" si="6"/>
        <v>0</v>
      </c>
    </row>
    <row r="70" spans="1:13" s="72" customFormat="1" ht="14.25" x14ac:dyDescent="0.2">
      <c r="A70" s="151">
        <v>370040</v>
      </c>
      <c r="B70" s="69" t="str">
        <f>VLOOKUP(A70, CHP!$A$13:D$215,2,0)</f>
        <v>Espargidor p/asfalto borracha 20 t EHR-700H</v>
      </c>
      <c r="C70" s="77">
        <f t="shared" si="0"/>
        <v>197.96</v>
      </c>
      <c r="D70" s="77">
        <f t="shared" si="3"/>
        <v>0</v>
      </c>
      <c r="E70" s="88"/>
      <c r="F70" s="77">
        <f t="shared" si="4"/>
        <v>0</v>
      </c>
      <c r="G70" s="78">
        <f t="shared" si="5"/>
        <v>1</v>
      </c>
      <c r="H70" s="79">
        <f>VLOOKUP(A70,'Transporte - FU'!$A$3:$C$166,3,0)</f>
        <v>1</v>
      </c>
      <c r="I70" s="78">
        <f>VLOOKUP(A70,'Transporte - FU'!$A$3:$C$166,2,0)</f>
        <v>370040</v>
      </c>
      <c r="J70" s="80">
        <f>VLOOKUP(I70,CHP!$A$13:$D$215,3,0)</f>
        <v>146.72</v>
      </c>
      <c r="K70" s="78" t="s">
        <v>238</v>
      </c>
      <c r="L70" s="136"/>
      <c r="M70" s="81">
        <f t="shared" si="6"/>
        <v>0</v>
      </c>
    </row>
    <row r="71" spans="1:13" s="72" customFormat="1" ht="14.25" x14ac:dyDescent="0.2">
      <c r="A71" s="151">
        <v>390200</v>
      </c>
      <c r="B71" s="69" t="str">
        <f>VLOOKUP(A71, CHP!$A$13:D$215,2,0)</f>
        <v>Extrusora para defensa de concreto armada</v>
      </c>
      <c r="C71" s="77">
        <f t="shared" si="0"/>
        <v>197.96</v>
      </c>
      <c r="D71" s="77">
        <f t="shared" si="3"/>
        <v>0</v>
      </c>
      <c r="E71" s="88"/>
      <c r="F71" s="77">
        <f t="shared" si="4"/>
        <v>0</v>
      </c>
      <c r="G71" s="78">
        <f t="shared" si="5"/>
        <v>2</v>
      </c>
      <c r="H71" s="79">
        <f>VLOOKUP(A71,'Transporte - FU'!$A$3:$C$166,3,0)</f>
        <v>1</v>
      </c>
      <c r="I71" s="78" t="str">
        <f>VLOOKUP(A71,'Transporte - FU'!$A$3:$C$166,2,0)</f>
        <v>EQ001</v>
      </c>
      <c r="J71" s="80">
        <f>VLOOKUP(I71,CHP!$A$13:$D$215,3,0)</f>
        <v>434.55</v>
      </c>
      <c r="K71" s="78" t="s">
        <v>238</v>
      </c>
      <c r="L71" s="136"/>
      <c r="M71" s="81">
        <f t="shared" si="6"/>
        <v>0</v>
      </c>
    </row>
    <row r="72" spans="1:13" s="72" customFormat="1" ht="14.25" x14ac:dyDescent="0.2">
      <c r="A72" s="151">
        <v>390100</v>
      </c>
      <c r="B72" s="69" t="str">
        <f>VLOOKUP(A72, CHP!$A$13:D$215,2,0)</f>
        <v>Extrusora para meio fio de concreto</v>
      </c>
      <c r="C72" s="77">
        <f t="shared" si="0"/>
        <v>197.96</v>
      </c>
      <c r="D72" s="77">
        <f t="shared" si="3"/>
        <v>0</v>
      </c>
      <c r="E72" s="88"/>
      <c r="F72" s="77">
        <f t="shared" si="4"/>
        <v>0</v>
      </c>
      <c r="G72" s="78">
        <f t="shared" si="5"/>
        <v>2</v>
      </c>
      <c r="H72" s="79">
        <f>VLOOKUP(A72,'Transporte - FU'!$A$3:$C$166,3,0)</f>
        <v>1</v>
      </c>
      <c r="I72" s="78" t="str">
        <f>VLOOKUP(A72,'Transporte - FU'!$A$3:$C$166,2,0)</f>
        <v>EQ001</v>
      </c>
      <c r="J72" s="80">
        <f>VLOOKUP(I72,CHP!$A$13:$D$215,3,0)</f>
        <v>434.55</v>
      </c>
      <c r="K72" s="78" t="s">
        <v>238</v>
      </c>
      <c r="L72" s="136"/>
      <c r="M72" s="81">
        <f t="shared" si="6"/>
        <v>0</v>
      </c>
    </row>
    <row r="73" spans="1:13" s="72" customFormat="1" ht="14.25" x14ac:dyDescent="0.2">
      <c r="A73" s="151">
        <v>351500</v>
      </c>
      <c r="B73" s="69" t="str">
        <f>VLOOKUP(A73, CHP!$A$13:D$215,2,0)</f>
        <v>Fresadora asfalto a frio PM-313</v>
      </c>
      <c r="C73" s="77">
        <f t="shared" si="0"/>
        <v>197.96</v>
      </c>
      <c r="D73" s="77">
        <f t="shared" si="3"/>
        <v>0</v>
      </c>
      <c r="E73" s="88"/>
      <c r="F73" s="77">
        <f t="shared" si="4"/>
        <v>0</v>
      </c>
      <c r="G73" s="78">
        <f t="shared" si="5"/>
        <v>2</v>
      </c>
      <c r="H73" s="79">
        <f>VLOOKUP(A73,'Transporte - FU'!$A$3:$C$166,3,0)</f>
        <v>0.5</v>
      </c>
      <c r="I73" s="78" t="str">
        <f>VLOOKUP(A73,'Transporte - FU'!$A$3:$C$166,2,0)</f>
        <v>EQ001</v>
      </c>
      <c r="J73" s="80">
        <f>VLOOKUP(I73,CHP!$A$13:$D$215,3,0)</f>
        <v>434.55</v>
      </c>
      <c r="K73" s="78" t="s">
        <v>238</v>
      </c>
      <c r="L73" s="136"/>
      <c r="M73" s="81">
        <f t="shared" si="6"/>
        <v>0</v>
      </c>
    </row>
    <row r="74" spans="1:13" s="72" customFormat="1" ht="14.25" x14ac:dyDescent="0.2">
      <c r="A74" s="151">
        <v>351000</v>
      </c>
      <c r="B74" s="69" t="str">
        <f>VLOOKUP(A74, CHP!$A$13:D$215,2,0)</f>
        <v xml:space="preserve">Fresadora asfalto a frio W 100 HR </v>
      </c>
      <c r="C74" s="77">
        <f t="shared" si="0"/>
        <v>197.96</v>
      </c>
      <c r="D74" s="77">
        <f t="shared" si="3"/>
        <v>0</v>
      </c>
      <c r="E74" s="88"/>
      <c r="F74" s="77">
        <f t="shared" si="4"/>
        <v>0</v>
      </c>
      <c r="G74" s="78">
        <f t="shared" si="5"/>
        <v>2</v>
      </c>
      <c r="H74" s="79">
        <f>VLOOKUP(A74,'Transporte - FU'!$A$3:$C$166,3,0)</f>
        <v>1</v>
      </c>
      <c r="I74" s="78" t="str">
        <f>VLOOKUP(A74,'Transporte - FU'!$A$3:$C$166,2,0)</f>
        <v>EQ001</v>
      </c>
      <c r="J74" s="80">
        <f>VLOOKUP(I74,CHP!$A$13:$D$215,3,0)</f>
        <v>434.55</v>
      </c>
      <c r="K74" s="78" t="s">
        <v>238</v>
      </c>
      <c r="L74" s="136"/>
      <c r="M74" s="81">
        <f t="shared" si="6"/>
        <v>0</v>
      </c>
    </row>
    <row r="75" spans="1:13" s="72" customFormat="1" ht="14.25" x14ac:dyDescent="0.2">
      <c r="A75" s="151">
        <v>352000</v>
      </c>
      <c r="B75" s="69" t="str">
        <f>VLOOKUP(A75, CHP!$A$13:D$215,2,0)</f>
        <v>Fresadora asfalto a frio W-200 F</v>
      </c>
      <c r="C75" s="77">
        <f t="shared" si="0"/>
        <v>197.96</v>
      </c>
      <c r="D75" s="77">
        <f t="shared" ref="D75:D137" si="10">$M$5</f>
        <v>0</v>
      </c>
      <c r="E75" s="88"/>
      <c r="F75" s="77">
        <f t="shared" ref="F75:F137" si="11">ROUNDUP(E75/($M$9*$M$8),0)</f>
        <v>0</v>
      </c>
      <c r="G75" s="78">
        <f t="shared" ref="G75:G137" si="12">IF(A75=I75,1,2)</f>
        <v>2</v>
      </c>
      <c r="H75" s="79">
        <f>VLOOKUP(A75,'Transporte - FU'!$A$3:$C$166,3,0)</f>
        <v>1</v>
      </c>
      <c r="I75" s="78" t="str">
        <f>VLOOKUP(A75,'Transporte - FU'!$A$3:$C$166,2,0)</f>
        <v>EQ001</v>
      </c>
      <c r="J75" s="80">
        <f>VLOOKUP(I75,CHP!$A$13:$D$215,3,0)</f>
        <v>434.55</v>
      </c>
      <c r="K75" s="78" t="s">
        <v>238</v>
      </c>
      <c r="L75" s="136"/>
      <c r="M75" s="81">
        <f t="shared" ref="M75:M137" si="13">IFERROR(((C75*G75*H75)/$M$6+(D75*G75*H75)/$M$7)*J75*F75,0)+(F75*L75)</f>
        <v>0</v>
      </c>
    </row>
    <row r="76" spans="1:13" s="72" customFormat="1" ht="14.25" x14ac:dyDescent="0.2">
      <c r="A76" s="151">
        <v>370440</v>
      </c>
      <c r="B76" s="69" t="str">
        <f>VLOOKUP(A76, CHP!$A$13:D$215,2,0)</f>
        <v>Máquina pintura de faixas</v>
      </c>
      <c r="C76" s="77">
        <f t="shared" si="0"/>
        <v>197.96</v>
      </c>
      <c r="D76" s="77">
        <f t="shared" si="10"/>
        <v>0</v>
      </c>
      <c r="E76" s="88"/>
      <c r="F76" s="77">
        <f t="shared" si="11"/>
        <v>0</v>
      </c>
      <c r="G76" s="78">
        <f t="shared" si="12"/>
        <v>1</v>
      </c>
      <c r="H76" s="79">
        <f>VLOOKUP(A76,'Transporte - FU'!$A$3:$C$166,3,0)</f>
        <v>1</v>
      </c>
      <c r="I76" s="78">
        <f>VLOOKUP(A76,'Transporte - FU'!$A$3:$C$166,2,0)</f>
        <v>370440</v>
      </c>
      <c r="J76" s="80">
        <f>VLOOKUP(I76,CHP!$A$13:$D$215,3,0)</f>
        <v>224.85</v>
      </c>
      <c r="K76" s="78" t="s">
        <v>238</v>
      </c>
      <c r="L76" s="136"/>
      <c r="M76" s="81">
        <f t="shared" si="13"/>
        <v>0</v>
      </c>
    </row>
    <row r="77" spans="1:13" s="72" customFormat="1" ht="14.25" x14ac:dyDescent="0.2">
      <c r="A77" s="151">
        <v>344500</v>
      </c>
      <c r="B77" s="69" t="str">
        <f>VLOOKUP(A77, CHP!$A$13:D$215,2,0)</f>
        <v>Microtrator c/ pulverizador 450 l</v>
      </c>
      <c r="C77" s="77">
        <f t="shared" si="0"/>
        <v>197.96</v>
      </c>
      <c r="D77" s="77">
        <f t="shared" si="10"/>
        <v>0</v>
      </c>
      <c r="E77" s="88"/>
      <c r="F77" s="77">
        <f t="shared" si="11"/>
        <v>0</v>
      </c>
      <c r="G77" s="78">
        <f t="shared" si="12"/>
        <v>2</v>
      </c>
      <c r="H77" s="79">
        <f>VLOOKUP(A77,'Transporte - FU'!$A$3:$C$166,3,0)</f>
        <v>0.33</v>
      </c>
      <c r="I77" s="78" t="str">
        <f>VLOOKUP(A77,'Transporte - FU'!$A$3:$C$166,2,0)</f>
        <v>EQ001</v>
      </c>
      <c r="J77" s="80">
        <f>VLOOKUP(I77,CHP!$A$13:$D$215,3,0)</f>
        <v>434.55</v>
      </c>
      <c r="K77" s="78" t="s">
        <v>238</v>
      </c>
      <c r="L77" s="136"/>
      <c r="M77" s="81">
        <f t="shared" si="13"/>
        <v>0</v>
      </c>
    </row>
    <row r="78" spans="1:13" s="72" customFormat="1" ht="14.25" x14ac:dyDescent="0.2">
      <c r="A78" s="151">
        <v>327530</v>
      </c>
      <c r="B78" s="69" t="str">
        <f>VLOOKUP(A78, CHP!$A$13:D$215,2,0)</f>
        <v>Minicarregadeira de pneus 226-B c/vassoura</v>
      </c>
      <c r="C78" s="77">
        <f t="shared" si="0"/>
        <v>197.96</v>
      </c>
      <c r="D78" s="77">
        <f t="shared" si="10"/>
        <v>0</v>
      </c>
      <c r="E78" s="88"/>
      <c r="F78" s="77">
        <f t="shared" si="11"/>
        <v>0</v>
      </c>
      <c r="G78" s="78">
        <f t="shared" si="12"/>
        <v>2</v>
      </c>
      <c r="H78" s="79">
        <f>VLOOKUP(A78,'Transporte - FU'!$A$3:$C$166,3,0)</f>
        <v>0.33</v>
      </c>
      <c r="I78" s="78" t="str">
        <f>VLOOKUP(A78,'Transporte - FU'!$A$3:$C$166,2,0)</f>
        <v>EQ001</v>
      </c>
      <c r="J78" s="80">
        <f>VLOOKUP(I78,CHP!$A$13:$D$215,3,0)</f>
        <v>434.55</v>
      </c>
      <c r="K78" s="78" t="s">
        <v>238</v>
      </c>
      <c r="L78" s="136"/>
      <c r="M78" s="81">
        <f t="shared" si="13"/>
        <v>0</v>
      </c>
    </row>
    <row r="79" spans="1:13" s="72" customFormat="1" ht="28.5" x14ac:dyDescent="0.2">
      <c r="A79" s="151">
        <v>352500</v>
      </c>
      <c r="B79" s="69" t="str">
        <f>VLOOKUP(A79, CHP!$A$13:D$215,2,0)</f>
        <v>Minicarregadeira de pneus S-650 c/fresadora asf. a frio L&lt;=1,00m c/vassoura</v>
      </c>
      <c r="C79" s="77">
        <f t="shared" si="0"/>
        <v>197.96</v>
      </c>
      <c r="D79" s="77">
        <f t="shared" si="10"/>
        <v>0</v>
      </c>
      <c r="E79" s="88"/>
      <c r="F79" s="77">
        <f t="shared" si="11"/>
        <v>0</v>
      </c>
      <c r="G79" s="78">
        <f t="shared" si="12"/>
        <v>2</v>
      </c>
      <c r="H79" s="79">
        <f>VLOOKUP(A79,'Transporte - FU'!$A$3:$C$166,3,0)</f>
        <v>0.5</v>
      </c>
      <c r="I79" s="78" t="str">
        <f>VLOOKUP(A79,'Transporte - FU'!$A$3:$C$166,2,0)</f>
        <v>EQ001</v>
      </c>
      <c r="J79" s="80">
        <f>VLOOKUP(I79,CHP!$A$13:$D$215,3,0)</f>
        <v>434.55</v>
      </c>
      <c r="K79" s="78" t="s">
        <v>238</v>
      </c>
      <c r="L79" s="136"/>
      <c r="M79" s="81">
        <f t="shared" si="13"/>
        <v>0</v>
      </c>
    </row>
    <row r="80" spans="1:13" s="72" customFormat="1" ht="14.25" x14ac:dyDescent="0.2">
      <c r="A80" s="151">
        <v>312000</v>
      </c>
      <c r="B80" s="69" t="str">
        <f>VLOOKUP(A80, CHP!$A$13:D$215,2,0)</f>
        <v>Minicarregadeira de pneus S-650 c/valetadeira mecânica WS-24</v>
      </c>
      <c r="C80" s="77">
        <f t="shared" si="0"/>
        <v>197.96</v>
      </c>
      <c r="D80" s="77">
        <f t="shared" si="10"/>
        <v>0</v>
      </c>
      <c r="E80" s="88"/>
      <c r="F80" s="77">
        <f t="shared" si="11"/>
        <v>0</v>
      </c>
      <c r="G80" s="78">
        <f t="shared" si="12"/>
        <v>2</v>
      </c>
      <c r="H80" s="79">
        <f>VLOOKUP(A80,'Transporte - FU'!$A$3:$C$166,3,0)</f>
        <v>0.5</v>
      </c>
      <c r="I80" s="78" t="str">
        <f>VLOOKUP(A80,'Transporte - FU'!$A$3:$C$166,2,0)</f>
        <v>EQ001</v>
      </c>
      <c r="J80" s="80">
        <f>VLOOKUP(I80,CHP!$A$13:$D$215,3,0)</f>
        <v>434.55</v>
      </c>
      <c r="K80" s="78" t="s">
        <v>238</v>
      </c>
      <c r="L80" s="136"/>
      <c r="M80" s="81">
        <f t="shared" si="13"/>
        <v>0</v>
      </c>
    </row>
    <row r="81" spans="1:13" s="72" customFormat="1" ht="14.25" x14ac:dyDescent="0.2">
      <c r="A81" s="151">
        <v>311400</v>
      </c>
      <c r="B81" s="69" t="str">
        <f>VLOOKUP(A81, CHP!$A$13:D$215,2,0)</f>
        <v>Motoniveladora c/ escarificador 140-K leve</v>
      </c>
      <c r="C81" s="77">
        <f t="shared" si="0"/>
        <v>197.96</v>
      </c>
      <c r="D81" s="77">
        <f t="shared" si="10"/>
        <v>0</v>
      </c>
      <c r="E81" s="88"/>
      <c r="F81" s="77">
        <f t="shared" si="11"/>
        <v>0</v>
      </c>
      <c r="G81" s="78">
        <f t="shared" si="12"/>
        <v>2</v>
      </c>
      <c r="H81" s="79">
        <f>VLOOKUP(A81,'Transporte - FU'!$A$3:$C$166,3,0)</f>
        <v>1</v>
      </c>
      <c r="I81" s="78" t="str">
        <f>VLOOKUP(A81,'Transporte - FU'!$A$3:$C$166,2,0)</f>
        <v>EQ001</v>
      </c>
      <c r="J81" s="80">
        <f>VLOOKUP(I81,CHP!$A$13:$D$215,3,0)</f>
        <v>434.55</v>
      </c>
      <c r="K81" s="78" t="s">
        <v>238</v>
      </c>
      <c r="L81" s="136"/>
      <c r="M81" s="81">
        <f t="shared" si="13"/>
        <v>0</v>
      </c>
    </row>
    <row r="82" spans="1:13" s="72" customFormat="1" ht="14.25" x14ac:dyDescent="0.2">
      <c r="A82" s="151">
        <v>321400</v>
      </c>
      <c r="B82" s="69" t="str">
        <f>VLOOKUP(A82, CHP!$A$13:D$215,2,0)</f>
        <v>Motoniveladora c/ escarificador 140-K média</v>
      </c>
      <c r="C82" s="77">
        <f t="shared" si="0"/>
        <v>197.96</v>
      </c>
      <c r="D82" s="77">
        <f t="shared" si="10"/>
        <v>0</v>
      </c>
      <c r="E82" s="88"/>
      <c r="F82" s="77">
        <f t="shared" si="11"/>
        <v>0</v>
      </c>
      <c r="G82" s="78">
        <f t="shared" si="12"/>
        <v>2</v>
      </c>
      <c r="H82" s="79">
        <f>VLOOKUP(A82,'Transporte - FU'!$A$3:$C$166,3,0)</f>
        <v>1</v>
      </c>
      <c r="I82" s="78" t="str">
        <f>VLOOKUP(A82,'Transporte - FU'!$A$3:$C$166,2,0)</f>
        <v>EQ001</v>
      </c>
      <c r="J82" s="80">
        <f>VLOOKUP(I82,CHP!$A$13:$D$215,3,0)</f>
        <v>434.55</v>
      </c>
      <c r="K82" s="78" t="s">
        <v>238</v>
      </c>
      <c r="L82" s="136"/>
      <c r="M82" s="81">
        <f t="shared" si="13"/>
        <v>0</v>
      </c>
    </row>
    <row r="83" spans="1:13" s="72" customFormat="1" ht="14.25" x14ac:dyDescent="0.2">
      <c r="A83" s="151">
        <v>331400</v>
      </c>
      <c r="B83" s="69" t="str">
        <f>VLOOKUP(A83, CHP!$A$13:D$215,2,0)</f>
        <v>Motoniveladora c/ escarificador 140-K severa</v>
      </c>
      <c r="C83" s="77">
        <f t="shared" si="0"/>
        <v>197.96</v>
      </c>
      <c r="D83" s="77">
        <f t="shared" si="10"/>
        <v>0</v>
      </c>
      <c r="E83" s="88"/>
      <c r="F83" s="77">
        <f t="shared" si="11"/>
        <v>0</v>
      </c>
      <c r="G83" s="78">
        <f t="shared" si="12"/>
        <v>2</v>
      </c>
      <c r="H83" s="79">
        <f>VLOOKUP(A83,'Transporte - FU'!$A$3:$C$166,3,0)</f>
        <v>1</v>
      </c>
      <c r="I83" s="78" t="str">
        <f>VLOOKUP(A83,'Transporte - FU'!$A$3:$C$166,2,0)</f>
        <v>EQ001</v>
      </c>
      <c r="J83" s="80">
        <f>VLOOKUP(I83,CHP!$A$13:$D$215,3,0)</f>
        <v>434.55</v>
      </c>
      <c r="K83" s="78" t="s">
        <v>238</v>
      </c>
      <c r="L83" s="136"/>
      <c r="M83" s="81">
        <f t="shared" si="13"/>
        <v>0</v>
      </c>
    </row>
    <row r="84" spans="1:13" s="72" customFormat="1" ht="14.25" x14ac:dyDescent="0.2">
      <c r="A84" s="151">
        <v>311200</v>
      </c>
      <c r="B84" s="69" t="str">
        <f>VLOOKUP(A84, CHP!$A$13:D$215,2,0)</f>
        <v>Motoniveladora 120-K leve</v>
      </c>
      <c r="C84" s="77">
        <f t="shared" si="0"/>
        <v>197.96</v>
      </c>
      <c r="D84" s="77">
        <f t="shared" si="10"/>
        <v>0</v>
      </c>
      <c r="E84" s="88"/>
      <c r="F84" s="77">
        <f t="shared" si="11"/>
        <v>0</v>
      </c>
      <c r="G84" s="78">
        <f t="shared" si="12"/>
        <v>2</v>
      </c>
      <c r="H84" s="79">
        <f>VLOOKUP(A84,'Transporte - FU'!$A$3:$C$166,3,0)</f>
        <v>1</v>
      </c>
      <c r="I84" s="78" t="str">
        <f>VLOOKUP(A84,'Transporte - FU'!$A$3:$C$166,2,0)</f>
        <v>EQ001</v>
      </c>
      <c r="J84" s="80">
        <f>VLOOKUP(I84,CHP!$A$13:$D$215,3,0)</f>
        <v>434.55</v>
      </c>
      <c r="K84" s="78" t="s">
        <v>238</v>
      </c>
      <c r="L84" s="136"/>
      <c r="M84" s="81">
        <f t="shared" si="13"/>
        <v>0</v>
      </c>
    </row>
    <row r="85" spans="1:13" s="72" customFormat="1" ht="14.25" x14ac:dyDescent="0.2">
      <c r="A85" s="151">
        <v>321200</v>
      </c>
      <c r="B85" s="69" t="str">
        <f>VLOOKUP(A85, CHP!$A$13:D$215,2,0)</f>
        <v>Motoniveladora 120-K média</v>
      </c>
      <c r="C85" s="77">
        <f t="shared" si="0"/>
        <v>197.96</v>
      </c>
      <c r="D85" s="77">
        <f t="shared" si="10"/>
        <v>0</v>
      </c>
      <c r="E85" s="88"/>
      <c r="F85" s="77">
        <f t="shared" si="11"/>
        <v>0</v>
      </c>
      <c r="G85" s="78">
        <f t="shared" si="12"/>
        <v>2</v>
      </c>
      <c r="H85" s="79">
        <f>VLOOKUP(A85,'Transporte - FU'!$A$3:$C$166,3,0)</f>
        <v>1</v>
      </c>
      <c r="I85" s="78" t="str">
        <f>VLOOKUP(A85,'Transporte - FU'!$A$3:$C$166,2,0)</f>
        <v>EQ001</v>
      </c>
      <c r="J85" s="80">
        <f>VLOOKUP(I85,CHP!$A$13:$D$215,3,0)</f>
        <v>434.55</v>
      </c>
      <c r="K85" s="78" t="s">
        <v>238</v>
      </c>
      <c r="L85" s="136"/>
      <c r="M85" s="81">
        <f t="shared" si="13"/>
        <v>0</v>
      </c>
    </row>
    <row r="86" spans="1:13" s="72" customFormat="1" ht="14.25" x14ac:dyDescent="0.2">
      <c r="A86" s="151">
        <v>331200</v>
      </c>
      <c r="B86" s="69" t="str">
        <f>VLOOKUP(A86, CHP!$A$13:D$215,2,0)</f>
        <v>Motoniveladora 120-K severa</v>
      </c>
      <c r="C86" s="77">
        <f t="shared" si="0"/>
        <v>197.96</v>
      </c>
      <c r="D86" s="77">
        <f t="shared" si="10"/>
        <v>0</v>
      </c>
      <c r="E86" s="88"/>
      <c r="F86" s="77">
        <f t="shared" si="11"/>
        <v>0</v>
      </c>
      <c r="G86" s="78">
        <f t="shared" si="12"/>
        <v>2</v>
      </c>
      <c r="H86" s="79">
        <f>VLOOKUP(A86,'Transporte - FU'!$A$3:$C$166,3,0)</f>
        <v>1</v>
      </c>
      <c r="I86" s="78" t="str">
        <f>VLOOKUP(A86,'Transporte - FU'!$A$3:$C$166,2,0)</f>
        <v>EQ001</v>
      </c>
      <c r="J86" s="80">
        <f>VLOOKUP(I86,CHP!$A$13:$D$215,3,0)</f>
        <v>434.55</v>
      </c>
      <c r="K86" s="78" t="s">
        <v>238</v>
      </c>
      <c r="L86" s="136"/>
      <c r="M86" s="81">
        <f t="shared" si="13"/>
        <v>0</v>
      </c>
    </row>
    <row r="87" spans="1:13" s="72" customFormat="1" ht="14.25" x14ac:dyDescent="0.2">
      <c r="A87" s="151">
        <v>310400</v>
      </c>
      <c r="B87" s="69" t="str">
        <f>VLOOKUP(A87, CHP!$A$13:D$215,2,0)</f>
        <v>Motoniveladora 140-K leve</v>
      </c>
      <c r="C87" s="77">
        <f t="shared" si="0"/>
        <v>197.96</v>
      </c>
      <c r="D87" s="77">
        <f t="shared" si="10"/>
        <v>0</v>
      </c>
      <c r="E87" s="88"/>
      <c r="F87" s="77">
        <f t="shared" si="11"/>
        <v>0</v>
      </c>
      <c r="G87" s="78">
        <f t="shared" si="12"/>
        <v>2</v>
      </c>
      <c r="H87" s="79">
        <f>VLOOKUP(A87,'Transporte - FU'!$A$3:$C$166,3,0)</f>
        <v>1</v>
      </c>
      <c r="I87" s="78" t="str">
        <f>VLOOKUP(A87,'Transporte - FU'!$A$3:$C$166,2,0)</f>
        <v>EQ001</v>
      </c>
      <c r="J87" s="80">
        <f>VLOOKUP(I87,CHP!$A$13:$D$215,3,0)</f>
        <v>434.55</v>
      </c>
      <c r="K87" s="78" t="s">
        <v>238</v>
      </c>
      <c r="L87" s="136"/>
      <c r="M87" s="81">
        <f t="shared" si="13"/>
        <v>0</v>
      </c>
    </row>
    <row r="88" spans="1:13" s="72" customFormat="1" ht="14.25" x14ac:dyDescent="0.2">
      <c r="A88" s="151">
        <v>320400</v>
      </c>
      <c r="B88" s="69" t="str">
        <f>VLOOKUP(A88, CHP!$A$13:D$215,2,0)</f>
        <v>Motoniveladora 140-k média</v>
      </c>
      <c r="C88" s="77">
        <f t="shared" si="0"/>
        <v>197.96</v>
      </c>
      <c r="D88" s="77">
        <f t="shared" si="10"/>
        <v>0</v>
      </c>
      <c r="E88" s="88"/>
      <c r="F88" s="77">
        <f t="shared" si="11"/>
        <v>0</v>
      </c>
      <c r="G88" s="78">
        <f t="shared" si="12"/>
        <v>2</v>
      </c>
      <c r="H88" s="79">
        <f>VLOOKUP(A88,'Transporte - FU'!$A$3:$C$166,3,0)</f>
        <v>1</v>
      </c>
      <c r="I88" s="78" t="str">
        <f>VLOOKUP(A88,'Transporte - FU'!$A$3:$C$166,2,0)</f>
        <v>EQ001</v>
      </c>
      <c r="J88" s="80">
        <f>VLOOKUP(I88,CHP!$A$13:$D$215,3,0)</f>
        <v>434.55</v>
      </c>
      <c r="K88" s="78" t="s">
        <v>238</v>
      </c>
      <c r="L88" s="136"/>
      <c r="M88" s="81">
        <f t="shared" si="13"/>
        <v>0</v>
      </c>
    </row>
    <row r="89" spans="1:13" s="72" customFormat="1" ht="14.25" x14ac:dyDescent="0.2">
      <c r="A89" s="151">
        <v>330400</v>
      </c>
      <c r="B89" s="69" t="str">
        <f>VLOOKUP(A89, CHP!$A$13:D$215,2,0)</f>
        <v>Motoniveladora 140-k severa</v>
      </c>
      <c r="C89" s="77">
        <f t="shared" si="0"/>
        <v>197.96</v>
      </c>
      <c r="D89" s="77">
        <f t="shared" si="10"/>
        <v>0</v>
      </c>
      <c r="E89" s="88"/>
      <c r="F89" s="77">
        <f t="shared" si="11"/>
        <v>0</v>
      </c>
      <c r="G89" s="78">
        <f t="shared" si="12"/>
        <v>2</v>
      </c>
      <c r="H89" s="79">
        <f>VLOOKUP(A89,'Transporte - FU'!$A$3:$C$166,3,0)</f>
        <v>1</v>
      </c>
      <c r="I89" s="78" t="str">
        <f>VLOOKUP(A89,'Transporte - FU'!$A$3:$C$166,2,0)</f>
        <v>EQ001</v>
      </c>
      <c r="J89" s="80">
        <f>VLOOKUP(I89,CHP!$A$13:$D$215,3,0)</f>
        <v>434.55</v>
      </c>
      <c r="K89" s="78" t="s">
        <v>238</v>
      </c>
      <c r="L89" s="136"/>
      <c r="M89" s="81">
        <f t="shared" si="13"/>
        <v>0</v>
      </c>
    </row>
    <row r="90" spans="1:13" s="72" customFormat="1" ht="14.25" x14ac:dyDescent="0.2">
      <c r="A90" s="151">
        <v>323104</v>
      </c>
      <c r="B90" s="69" t="str">
        <f>VLOOKUP(A90, CHP!$A$13:D$215,2,0)</f>
        <v xml:space="preserve">Pavimentadora com formas deslizantes </v>
      </c>
      <c r="C90" s="77">
        <f t="shared" si="0"/>
        <v>197.96</v>
      </c>
      <c r="D90" s="77">
        <f t="shared" si="10"/>
        <v>0</v>
      </c>
      <c r="E90" s="88"/>
      <c r="F90" s="77">
        <f t="shared" si="11"/>
        <v>0</v>
      </c>
      <c r="G90" s="78">
        <f t="shared" si="12"/>
        <v>2</v>
      </c>
      <c r="H90" s="79">
        <f>VLOOKUP(A90,'Transporte - FU'!$A$3:$C$166,3,0)</f>
        <v>1</v>
      </c>
      <c r="I90" s="78" t="str">
        <f>VLOOKUP(A90,'Transporte - FU'!$A$3:$C$166,2,0)</f>
        <v>EQ001</v>
      </c>
      <c r="J90" s="80">
        <f>VLOOKUP(I90,CHP!$A$13:$D$215,3,0)</f>
        <v>434.55</v>
      </c>
      <c r="K90" s="78" t="s">
        <v>238</v>
      </c>
      <c r="L90" s="136"/>
      <c r="M90" s="81">
        <f t="shared" si="13"/>
        <v>0</v>
      </c>
    </row>
    <row r="91" spans="1:13" s="72" customFormat="1" ht="14.25" x14ac:dyDescent="0.2">
      <c r="A91" s="151">
        <v>325125</v>
      </c>
      <c r="B91" s="69" t="str">
        <f>VLOOKUP(A91, CHP!$A$13:D$215,2,0)</f>
        <v>Pavimentadora/extrusora de concreto 4400</v>
      </c>
      <c r="C91" s="77">
        <f t="shared" si="0"/>
        <v>197.96</v>
      </c>
      <c r="D91" s="77">
        <f t="shared" si="10"/>
        <v>0</v>
      </c>
      <c r="E91" s="88"/>
      <c r="F91" s="77">
        <f t="shared" si="11"/>
        <v>0</v>
      </c>
      <c r="G91" s="78">
        <f t="shared" si="12"/>
        <v>2</v>
      </c>
      <c r="H91" s="79">
        <f>VLOOKUP(A91,'Transporte - FU'!$A$3:$C$166,3,0)</f>
        <v>1</v>
      </c>
      <c r="I91" s="78" t="str">
        <f>VLOOKUP(A91,'Transporte - FU'!$A$3:$C$166,2,0)</f>
        <v>EQ001</v>
      </c>
      <c r="J91" s="80">
        <f>VLOOKUP(I91,CHP!$A$13:$D$215,3,0)</f>
        <v>434.55</v>
      </c>
      <c r="K91" s="78" t="s">
        <v>238</v>
      </c>
      <c r="L91" s="136"/>
      <c r="M91" s="81">
        <f t="shared" si="13"/>
        <v>0</v>
      </c>
    </row>
    <row r="92" spans="1:13" s="72" customFormat="1" ht="14.25" x14ac:dyDescent="0.2">
      <c r="A92" s="151">
        <v>300030</v>
      </c>
      <c r="B92" s="69" t="str">
        <f>VLOOKUP(A92, CHP!$A$13:D$215,2,0)</f>
        <v>Prancha p/ carreta (25 t)</v>
      </c>
      <c r="C92" s="77">
        <f t="shared" si="0"/>
        <v>197.96</v>
      </c>
      <c r="D92" s="77">
        <f t="shared" si="10"/>
        <v>0</v>
      </c>
      <c r="E92" s="88"/>
      <c r="F92" s="77">
        <f t="shared" si="11"/>
        <v>0</v>
      </c>
      <c r="G92" s="78">
        <f t="shared" si="12"/>
        <v>1</v>
      </c>
      <c r="H92" s="79">
        <f>VLOOKUP(A92,'Transporte - FU'!$A$3:$C$166,3,0)</f>
        <v>1</v>
      </c>
      <c r="I92" s="78">
        <f>VLOOKUP(A92,'Transporte - FU'!$A$3:$C$166,2,0)</f>
        <v>300030</v>
      </c>
      <c r="J92" s="80">
        <f>VLOOKUP(I92,CHP!$A$13:$D$215,3,0)</f>
        <v>31.18</v>
      </c>
      <c r="K92" s="78" t="s">
        <v>238</v>
      </c>
      <c r="L92" s="136"/>
      <c r="M92" s="81">
        <f t="shared" si="13"/>
        <v>0</v>
      </c>
    </row>
    <row r="93" spans="1:13" s="72" customFormat="1" ht="14.25" x14ac:dyDescent="0.2">
      <c r="A93" s="151">
        <v>325020</v>
      </c>
      <c r="B93" s="69" t="str">
        <f>VLOOKUP(A93, CHP!$A$13:D$215,2,0)</f>
        <v>Recicl. a frio WR-240 p/asp.água/emulsão</v>
      </c>
      <c r="C93" s="77">
        <f t="shared" si="0"/>
        <v>197.96</v>
      </c>
      <c r="D93" s="77">
        <f t="shared" si="10"/>
        <v>0</v>
      </c>
      <c r="E93" s="88"/>
      <c r="F93" s="77">
        <f t="shared" si="11"/>
        <v>0</v>
      </c>
      <c r="G93" s="78">
        <f t="shared" si="12"/>
        <v>2</v>
      </c>
      <c r="H93" s="79">
        <f>VLOOKUP(A93,'Transporte - FU'!$A$3:$C$166,3,0)</f>
        <v>1</v>
      </c>
      <c r="I93" s="78" t="str">
        <f>VLOOKUP(A93,'Transporte - FU'!$A$3:$C$166,2,0)</f>
        <v>EQ001</v>
      </c>
      <c r="J93" s="80">
        <f>VLOOKUP(I93,CHP!$A$13:$D$215,3,0)</f>
        <v>434.55</v>
      </c>
      <c r="K93" s="78" t="s">
        <v>238</v>
      </c>
      <c r="L93" s="136"/>
      <c r="M93" s="81">
        <f t="shared" si="13"/>
        <v>0</v>
      </c>
    </row>
    <row r="94" spans="1:13" s="72" customFormat="1" ht="14.25" x14ac:dyDescent="0.2">
      <c r="A94" s="151">
        <v>325010</v>
      </c>
      <c r="B94" s="69" t="str">
        <f>VLOOKUP(A94, CHP!$A$13:D$215,2,0)</f>
        <v>Recicl. a frio WR-240 p/espuma de asfalto</v>
      </c>
      <c r="C94" s="77">
        <f t="shared" si="0"/>
        <v>197.96</v>
      </c>
      <c r="D94" s="77">
        <f t="shared" si="10"/>
        <v>0</v>
      </c>
      <c r="E94" s="88"/>
      <c r="F94" s="77">
        <f t="shared" si="11"/>
        <v>0</v>
      </c>
      <c r="G94" s="78">
        <f t="shared" si="12"/>
        <v>2</v>
      </c>
      <c r="H94" s="79">
        <f>VLOOKUP(A94,'Transporte - FU'!$A$3:$C$166,3,0)</f>
        <v>1</v>
      </c>
      <c r="I94" s="78" t="str">
        <f>VLOOKUP(A94,'Transporte - FU'!$A$3:$C$166,2,0)</f>
        <v>EQ001</v>
      </c>
      <c r="J94" s="80">
        <f>VLOOKUP(I94,CHP!$A$13:$D$215,3,0)</f>
        <v>434.55</v>
      </c>
      <c r="K94" s="78" t="s">
        <v>238</v>
      </c>
      <c r="L94" s="136"/>
      <c r="M94" s="81">
        <f t="shared" si="13"/>
        <v>0</v>
      </c>
    </row>
    <row r="95" spans="1:13" s="72" customFormat="1" ht="14.25" x14ac:dyDescent="0.2">
      <c r="A95" s="151">
        <v>325150</v>
      </c>
      <c r="B95" s="69" t="str">
        <f>VLOOKUP(A95, CHP!$A$13:D$215,2,0)</f>
        <v>Recicladora a frio RS-460</v>
      </c>
      <c r="C95" s="77">
        <f t="shared" si="0"/>
        <v>197.96</v>
      </c>
      <c r="D95" s="77">
        <f t="shared" si="10"/>
        <v>0</v>
      </c>
      <c r="E95" s="88"/>
      <c r="F95" s="77">
        <f t="shared" si="11"/>
        <v>0</v>
      </c>
      <c r="G95" s="78">
        <f t="shared" si="12"/>
        <v>2</v>
      </c>
      <c r="H95" s="79">
        <f>VLOOKUP(A95,'Transporte - FU'!$A$3:$C$166,3,0)</f>
        <v>1</v>
      </c>
      <c r="I95" s="78" t="str">
        <f>VLOOKUP(A95,'Transporte - FU'!$A$3:$C$166,2,0)</f>
        <v>EQ001</v>
      </c>
      <c r="J95" s="80">
        <f>VLOOKUP(I95,CHP!$A$13:$D$215,3,0)</f>
        <v>434.55</v>
      </c>
      <c r="K95" s="78" t="s">
        <v>238</v>
      </c>
      <c r="L95" s="136"/>
      <c r="M95" s="81">
        <f t="shared" si="13"/>
        <v>0</v>
      </c>
    </row>
    <row r="96" spans="1:13" s="72" customFormat="1" ht="14.25" x14ac:dyDescent="0.2">
      <c r="A96" s="151">
        <v>325200</v>
      </c>
      <c r="B96" s="69" t="str">
        <f>VLOOKUP(A96, CHP!$A$13:D$215,2,0)</f>
        <v>Recicladora a frio RM-400</v>
      </c>
      <c r="C96" s="77">
        <f t="shared" si="0"/>
        <v>197.96</v>
      </c>
      <c r="D96" s="77">
        <f t="shared" si="10"/>
        <v>0</v>
      </c>
      <c r="E96" s="88"/>
      <c r="F96" s="77">
        <f t="shared" si="11"/>
        <v>0</v>
      </c>
      <c r="G96" s="78">
        <f t="shared" si="12"/>
        <v>2</v>
      </c>
      <c r="H96" s="79">
        <f>VLOOKUP(A96,'Transporte - FU'!$A$3:$C$166,3,0)</f>
        <v>1</v>
      </c>
      <c r="I96" s="78" t="str">
        <f>VLOOKUP(A96,'Transporte - FU'!$A$3:$C$166,2,0)</f>
        <v>EQ001</v>
      </c>
      <c r="J96" s="80">
        <f>VLOOKUP(I96,CHP!$A$13:$D$215,3,0)</f>
        <v>434.55</v>
      </c>
      <c r="K96" s="78" t="s">
        <v>238</v>
      </c>
      <c r="L96" s="136"/>
      <c r="M96" s="81">
        <f t="shared" si="13"/>
        <v>0</v>
      </c>
    </row>
    <row r="97" spans="1:13" s="72" customFormat="1" ht="14.25" x14ac:dyDescent="0.2">
      <c r="A97" s="151">
        <v>325250</v>
      </c>
      <c r="B97" s="69" t="str">
        <f>VLOOKUP(A97, CHP!$A$13:D$215,2,0)</f>
        <v>Recicladora a frio RM-500</v>
      </c>
      <c r="C97" s="77">
        <f t="shared" si="0"/>
        <v>197.96</v>
      </c>
      <c r="D97" s="77">
        <f t="shared" si="10"/>
        <v>0</v>
      </c>
      <c r="E97" s="88"/>
      <c r="F97" s="77">
        <f t="shared" si="11"/>
        <v>0</v>
      </c>
      <c r="G97" s="78">
        <f t="shared" si="12"/>
        <v>2</v>
      </c>
      <c r="H97" s="79">
        <f>VLOOKUP(A97,'Transporte - FU'!$A$3:$C$166,3,0)</f>
        <v>1</v>
      </c>
      <c r="I97" s="78" t="str">
        <f>VLOOKUP(A97,'Transporte - FU'!$A$3:$C$166,2,0)</f>
        <v>EQ001</v>
      </c>
      <c r="J97" s="80">
        <f>VLOOKUP(I97,CHP!$A$13:$D$215,3,0)</f>
        <v>434.55</v>
      </c>
      <c r="K97" s="78" t="s">
        <v>238</v>
      </c>
      <c r="L97" s="136"/>
      <c r="M97" s="81">
        <f t="shared" si="13"/>
        <v>0</v>
      </c>
    </row>
    <row r="98" spans="1:13" s="72" customFormat="1" ht="14.25" x14ac:dyDescent="0.2">
      <c r="A98" s="151">
        <v>312520</v>
      </c>
      <c r="B98" s="69" t="str">
        <f>VLOOKUP(A98, CHP!$A$13:D$215,2,0)</f>
        <v>Retroescavadeira 580N leve</v>
      </c>
      <c r="C98" s="77">
        <f t="shared" si="0"/>
        <v>197.96</v>
      </c>
      <c r="D98" s="77">
        <f t="shared" si="10"/>
        <v>0</v>
      </c>
      <c r="E98" s="88"/>
      <c r="F98" s="77">
        <f t="shared" si="11"/>
        <v>0</v>
      </c>
      <c r="G98" s="78">
        <f t="shared" si="12"/>
        <v>2</v>
      </c>
      <c r="H98" s="79">
        <f>VLOOKUP(A98,'Transporte - FU'!$A$3:$C$166,3,0)</f>
        <v>0.5</v>
      </c>
      <c r="I98" s="78" t="str">
        <f>VLOOKUP(A98,'Transporte - FU'!$A$3:$C$166,2,0)</f>
        <v>EQ001</v>
      </c>
      <c r="J98" s="80">
        <f>VLOOKUP(I98,CHP!$A$13:$D$215,3,0)</f>
        <v>434.55</v>
      </c>
      <c r="K98" s="78" t="s">
        <v>238</v>
      </c>
      <c r="L98" s="136"/>
      <c r="M98" s="81">
        <f t="shared" si="13"/>
        <v>0</v>
      </c>
    </row>
    <row r="99" spans="1:13" s="72" customFormat="1" ht="14.25" x14ac:dyDescent="0.2">
      <c r="A99" s="151">
        <v>322520</v>
      </c>
      <c r="B99" s="69" t="str">
        <f>VLOOKUP(A99, CHP!$A$13:D$215,2,0)</f>
        <v>Retroescavadeira 580N média</v>
      </c>
      <c r="C99" s="77">
        <f t="shared" si="0"/>
        <v>197.96</v>
      </c>
      <c r="D99" s="77">
        <f t="shared" si="10"/>
        <v>0</v>
      </c>
      <c r="E99" s="88"/>
      <c r="F99" s="77">
        <f t="shared" si="11"/>
        <v>0</v>
      </c>
      <c r="G99" s="78">
        <f t="shared" si="12"/>
        <v>2</v>
      </c>
      <c r="H99" s="79">
        <f>VLOOKUP(A99,'Transporte - FU'!$A$3:$C$166,3,0)</f>
        <v>0.5</v>
      </c>
      <c r="I99" s="78" t="str">
        <f>VLOOKUP(A99,'Transporte - FU'!$A$3:$C$166,2,0)</f>
        <v>EQ001</v>
      </c>
      <c r="J99" s="80">
        <f>VLOOKUP(I99,CHP!$A$13:$D$215,3,0)</f>
        <v>434.55</v>
      </c>
      <c r="K99" s="78" t="s">
        <v>238</v>
      </c>
      <c r="L99" s="136"/>
      <c r="M99" s="81">
        <f t="shared" si="13"/>
        <v>0</v>
      </c>
    </row>
    <row r="100" spans="1:13" s="72" customFormat="1" ht="14.25" x14ac:dyDescent="0.2">
      <c r="A100" s="151">
        <v>332520</v>
      </c>
      <c r="B100" s="69" t="str">
        <f>VLOOKUP(A100, CHP!$A$13:D$215,2,0)</f>
        <v>Retroescavadeira 580N severa</v>
      </c>
      <c r="C100" s="77">
        <f t="shared" si="0"/>
        <v>197.96</v>
      </c>
      <c r="D100" s="77">
        <f t="shared" si="10"/>
        <v>0</v>
      </c>
      <c r="E100" s="88"/>
      <c r="F100" s="77">
        <f t="shared" si="11"/>
        <v>0</v>
      </c>
      <c r="G100" s="78">
        <f t="shared" si="12"/>
        <v>2</v>
      </c>
      <c r="H100" s="79">
        <f>VLOOKUP(A100,'Transporte - FU'!$A$3:$C$166,3,0)</f>
        <v>0.5</v>
      </c>
      <c r="I100" s="78" t="str">
        <f>VLOOKUP(A100,'Transporte - FU'!$A$3:$C$166,2,0)</f>
        <v>EQ001</v>
      </c>
      <c r="J100" s="80">
        <f>VLOOKUP(I100,CHP!$A$13:$D$215,3,0)</f>
        <v>434.55</v>
      </c>
      <c r="K100" s="78" t="s">
        <v>238</v>
      </c>
      <c r="L100" s="136"/>
      <c r="M100" s="81">
        <f t="shared" si="13"/>
        <v>0</v>
      </c>
    </row>
    <row r="101" spans="1:13" s="72" customFormat="1" ht="14.25" x14ac:dyDescent="0.2">
      <c r="A101" s="151">
        <v>340140</v>
      </c>
      <c r="B101" s="69" t="str">
        <f>VLOOKUP(A101, CHP!$A$13:D$215,2,0)</f>
        <v>Rolo liso autopropelido VAP-55 P</v>
      </c>
      <c r="C101" s="77">
        <f t="shared" si="0"/>
        <v>197.96</v>
      </c>
      <c r="D101" s="77">
        <f t="shared" si="10"/>
        <v>0</v>
      </c>
      <c r="E101" s="88"/>
      <c r="F101" s="77">
        <f t="shared" si="11"/>
        <v>0</v>
      </c>
      <c r="G101" s="78">
        <f t="shared" si="12"/>
        <v>2</v>
      </c>
      <c r="H101" s="79">
        <f>VLOOKUP(A101,'Transporte - FU'!$A$3:$C$166,3,0)</f>
        <v>1</v>
      </c>
      <c r="I101" s="78" t="str">
        <f>VLOOKUP(A101,'Transporte - FU'!$A$3:$C$166,2,0)</f>
        <v>EQ001</v>
      </c>
      <c r="J101" s="80">
        <f>VLOOKUP(I101,CHP!$A$13:$D$215,3,0)</f>
        <v>434.55</v>
      </c>
      <c r="K101" s="78" t="s">
        <v>238</v>
      </c>
      <c r="L101" s="136"/>
      <c r="M101" s="81">
        <f t="shared" si="13"/>
        <v>0</v>
      </c>
    </row>
    <row r="102" spans="1:13" s="72" customFormat="1" ht="14.25" x14ac:dyDescent="0.2">
      <c r="A102" s="151">
        <v>340150</v>
      </c>
      <c r="B102" s="69" t="str">
        <f>VLOOKUP(A102, CHP!$A$13:D$215,2,0)</f>
        <v>Rolo pé de carneiro autopropelido VAP-70 PT</v>
      </c>
      <c r="C102" s="77">
        <f t="shared" si="0"/>
        <v>197.96</v>
      </c>
      <c r="D102" s="77">
        <f t="shared" si="10"/>
        <v>0</v>
      </c>
      <c r="E102" s="88"/>
      <c r="F102" s="77">
        <f t="shared" si="11"/>
        <v>0</v>
      </c>
      <c r="G102" s="78">
        <f t="shared" si="12"/>
        <v>2</v>
      </c>
      <c r="H102" s="79">
        <f>VLOOKUP(A102,'Transporte - FU'!$A$3:$C$166,3,0)</f>
        <v>0.5</v>
      </c>
      <c r="I102" s="78" t="str">
        <f>VLOOKUP(A102,'Transporte - FU'!$A$3:$C$166,2,0)</f>
        <v>EQ001</v>
      </c>
      <c r="J102" s="80">
        <f>VLOOKUP(I102,CHP!$A$13:$D$215,3,0)</f>
        <v>434.55</v>
      </c>
      <c r="K102" s="78" t="s">
        <v>238</v>
      </c>
      <c r="L102" s="136"/>
      <c r="M102" s="81">
        <f t="shared" si="13"/>
        <v>0</v>
      </c>
    </row>
    <row r="103" spans="1:13" s="72" customFormat="1" ht="14.25" x14ac:dyDescent="0.2">
      <c r="A103" s="151">
        <v>345500</v>
      </c>
      <c r="B103" s="69" t="str">
        <f>VLOOKUP(A103, CHP!$A$13:D$215,2,0)</f>
        <v>Rolo pneus autopropelido 21 t</v>
      </c>
      <c r="C103" s="77">
        <f t="shared" si="0"/>
        <v>197.96</v>
      </c>
      <c r="D103" s="77">
        <f t="shared" si="10"/>
        <v>0</v>
      </c>
      <c r="E103" s="88"/>
      <c r="F103" s="77">
        <f t="shared" si="11"/>
        <v>0</v>
      </c>
      <c r="G103" s="78">
        <f t="shared" si="12"/>
        <v>2</v>
      </c>
      <c r="H103" s="79">
        <f>VLOOKUP(A103,'Transporte - FU'!$A$3:$C$166,3,0)</f>
        <v>1</v>
      </c>
      <c r="I103" s="78" t="str">
        <f>VLOOKUP(A103,'Transporte - FU'!$A$3:$C$166,2,0)</f>
        <v>EQ001</v>
      </c>
      <c r="J103" s="80">
        <f>VLOOKUP(I103,CHP!$A$13:$D$215,3,0)</f>
        <v>434.55</v>
      </c>
      <c r="K103" s="78" t="s">
        <v>238</v>
      </c>
      <c r="L103" s="136"/>
      <c r="M103" s="81">
        <f t="shared" si="13"/>
        <v>0</v>
      </c>
    </row>
    <row r="104" spans="1:13" s="72" customFormat="1" ht="14.25" x14ac:dyDescent="0.2">
      <c r="A104" s="151">
        <v>340210</v>
      </c>
      <c r="B104" s="69" t="str">
        <f>VLOOKUP(A104, CHP!$A$13:D$215,2,0)</f>
        <v>Rolo pneus autopropelido 22 t</v>
      </c>
      <c r="C104" s="77">
        <f t="shared" si="0"/>
        <v>197.96</v>
      </c>
      <c r="D104" s="77">
        <f t="shared" si="10"/>
        <v>0</v>
      </c>
      <c r="E104" s="88"/>
      <c r="F104" s="77">
        <f t="shared" si="11"/>
        <v>0</v>
      </c>
      <c r="G104" s="78">
        <f t="shared" si="12"/>
        <v>2</v>
      </c>
      <c r="H104" s="79">
        <f>VLOOKUP(A104,'Transporte - FU'!$A$3:$C$166,3,0)</f>
        <v>1</v>
      </c>
      <c r="I104" s="78" t="str">
        <f>VLOOKUP(A104,'Transporte - FU'!$A$3:$C$166,2,0)</f>
        <v>EQ001</v>
      </c>
      <c r="J104" s="80">
        <f>VLOOKUP(I104,CHP!$A$13:$D$215,3,0)</f>
        <v>434.55</v>
      </c>
      <c r="K104" s="78" t="s">
        <v>238</v>
      </c>
      <c r="L104" s="136"/>
      <c r="M104" s="81">
        <f t="shared" si="13"/>
        <v>0</v>
      </c>
    </row>
    <row r="105" spans="1:13" s="72" customFormat="1" ht="14.25" x14ac:dyDescent="0.2">
      <c r="A105" s="151">
        <v>340270</v>
      </c>
      <c r="B105" s="69" t="str">
        <f>VLOOKUP(A105, CHP!$A$13:D$215,2,0)</f>
        <v>Rolo pneus autopropelido 27 t</v>
      </c>
      <c r="C105" s="77">
        <f t="shared" si="0"/>
        <v>197.96</v>
      </c>
      <c r="D105" s="77">
        <f t="shared" si="10"/>
        <v>0</v>
      </c>
      <c r="E105" s="88"/>
      <c r="F105" s="77">
        <f t="shared" si="11"/>
        <v>0</v>
      </c>
      <c r="G105" s="78">
        <f t="shared" si="12"/>
        <v>2</v>
      </c>
      <c r="H105" s="79">
        <f>VLOOKUP(A105,'Transporte - FU'!$A$3:$C$166,3,0)</f>
        <v>1</v>
      </c>
      <c r="I105" s="78" t="str">
        <f>VLOOKUP(A105,'Transporte - FU'!$A$3:$C$166,2,0)</f>
        <v>EQ001</v>
      </c>
      <c r="J105" s="80">
        <f>VLOOKUP(I105,CHP!$A$13:$D$215,3,0)</f>
        <v>434.55</v>
      </c>
      <c r="K105" s="78" t="s">
        <v>238</v>
      </c>
      <c r="L105" s="136"/>
      <c r="M105" s="81">
        <f t="shared" si="13"/>
        <v>0</v>
      </c>
    </row>
    <row r="106" spans="1:13" s="72" customFormat="1" ht="14.25" x14ac:dyDescent="0.2">
      <c r="A106" s="151">
        <v>340110</v>
      </c>
      <c r="B106" s="69" t="str">
        <f>VLOOKUP(A106, CHP!$A$13:D$215,2,0)</f>
        <v>Rolo tandem CC-900</v>
      </c>
      <c r="C106" s="77">
        <f t="shared" si="0"/>
        <v>197.96</v>
      </c>
      <c r="D106" s="77">
        <f t="shared" si="10"/>
        <v>0</v>
      </c>
      <c r="E106" s="88"/>
      <c r="F106" s="77">
        <f t="shared" si="11"/>
        <v>0</v>
      </c>
      <c r="G106" s="78">
        <f t="shared" si="12"/>
        <v>2</v>
      </c>
      <c r="H106" s="79">
        <f>VLOOKUP(A106,'Transporte - FU'!$A$3:$C$166,3,0)</f>
        <v>0.1</v>
      </c>
      <c r="I106" s="78" t="str">
        <f>VLOOKUP(A106,'Transporte - FU'!$A$3:$C$166,2,0)</f>
        <v>EQ001</v>
      </c>
      <c r="J106" s="80">
        <f>VLOOKUP(I106,CHP!$A$13:$D$215,3,0)</f>
        <v>434.55</v>
      </c>
      <c r="K106" s="78" t="s">
        <v>238</v>
      </c>
      <c r="L106" s="136"/>
      <c r="M106" s="81">
        <f t="shared" si="13"/>
        <v>0</v>
      </c>
    </row>
    <row r="107" spans="1:13" s="72" customFormat="1" ht="14.25" x14ac:dyDescent="0.2">
      <c r="A107" s="151">
        <v>342220</v>
      </c>
      <c r="B107" s="69" t="str">
        <f>VLOOKUP(A107, CHP!$A$13:D$215,2,0)</f>
        <v>Rolo tandem liso autopropelido HD 090V</v>
      </c>
      <c r="C107" s="77">
        <f t="shared" si="0"/>
        <v>197.96</v>
      </c>
      <c r="D107" s="77">
        <f t="shared" si="10"/>
        <v>0</v>
      </c>
      <c r="E107" s="88"/>
      <c r="F107" s="77">
        <f t="shared" si="11"/>
        <v>0</v>
      </c>
      <c r="G107" s="78">
        <f t="shared" si="12"/>
        <v>2</v>
      </c>
      <c r="H107" s="79">
        <f>VLOOKUP(A107,'Transporte - FU'!$A$3:$C$166,3,0)</f>
        <v>0.1</v>
      </c>
      <c r="I107" s="78" t="str">
        <f>VLOOKUP(A107,'Transporte - FU'!$A$3:$C$166,2,0)</f>
        <v>EQ001</v>
      </c>
      <c r="J107" s="80">
        <f>VLOOKUP(I107,CHP!$A$13:$D$215,3,0)</f>
        <v>434.55</v>
      </c>
      <c r="K107" s="78" t="s">
        <v>238</v>
      </c>
      <c r="L107" s="136"/>
      <c r="M107" s="81">
        <f t="shared" si="13"/>
        <v>0</v>
      </c>
    </row>
    <row r="108" spans="1:13" s="72" customFormat="1" ht="14.25" x14ac:dyDescent="0.2">
      <c r="A108" s="151">
        <v>340100</v>
      </c>
      <c r="B108" s="69" t="str">
        <f>VLOOKUP(A108, CHP!$A$13:D$215,2,0)</f>
        <v>Rolo tandem liso autopropelido HD 14VV</v>
      </c>
      <c r="C108" s="77">
        <f t="shared" si="0"/>
        <v>197.96</v>
      </c>
      <c r="D108" s="77">
        <f t="shared" si="10"/>
        <v>0</v>
      </c>
      <c r="E108" s="88"/>
      <c r="F108" s="77">
        <f t="shared" si="11"/>
        <v>0</v>
      </c>
      <c r="G108" s="78">
        <f t="shared" si="12"/>
        <v>2</v>
      </c>
      <c r="H108" s="79">
        <f>VLOOKUP(A108,'Transporte - FU'!$A$3:$C$166,3,0)</f>
        <v>0.1</v>
      </c>
      <c r="I108" s="78" t="str">
        <f>VLOOKUP(A108,'Transporte - FU'!$A$3:$C$166,2,0)</f>
        <v>EQ001</v>
      </c>
      <c r="J108" s="80">
        <f>VLOOKUP(I108,CHP!$A$13:$D$215,3,0)</f>
        <v>434.55</v>
      </c>
      <c r="K108" s="78" t="s">
        <v>238</v>
      </c>
      <c r="L108" s="136"/>
      <c r="M108" s="81">
        <f t="shared" si="13"/>
        <v>0</v>
      </c>
    </row>
    <row r="109" spans="1:13" s="72" customFormat="1" ht="14.25" x14ac:dyDescent="0.2">
      <c r="A109" s="151">
        <v>340620</v>
      </c>
      <c r="B109" s="69" t="str">
        <f>VLOOKUP(A109, CHP!$A$13:D$215,2,0)</f>
        <v>Rolo tandem liso 6-8 t</v>
      </c>
      <c r="C109" s="77">
        <f t="shared" si="0"/>
        <v>197.96</v>
      </c>
      <c r="D109" s="77">
        <f t="shared" si="10"/>
        <v>0</v>
      </c>
      <c r="E109" s="88"/>
      <c r="F109" s="77">
        <f t="shared" si="11"/>
        <v>0</v>
      </c>
      <c r="G109" s="78">
        <f t="shared" si="12"/>
        <v>2</v>
      </c>
      <c r="H109" s="79">
        <f>VLOOKUP(A109,'Transporte - FU'!$A$3:$C$166,3,0)</f>
        <v>0.5</v>
      </c>
      <c r="I109" s="78" t="str">
        <f>VLOOKUP(A109,'Transporte - FU'!$A$3:$C$166,2,0)</f>
        <v>EQ001</v>
      </c>
      <c r="J109" s="80">
        <f>VLOOKUP(I109,CHP!$A$13:$D$215,3,0)</f>
        <v>434.55</v>
      </c>
      <c r="K109" s="78" t="s">
        <v>238</v>
      </c>
      <c r="L109" s="136"/>
      <c r="M109" s="81">
        <f t="shared" si="13"/>
        <v>0</v>
      </c>
    </row>
    <row r="110" spans="1:13" s="72" customFormat="1" ht="14.25" x14ac:dyDescent="0.2">
      <c r="A110" s="151">
        <v>341840</v>
      </c>
      <c r="B110" s="69" t="str">
        <f>VLOOKUP(A110, CHP!$A$13:D$215,2,0)</f>
        <v>Rolo vibratório corrug. autopr. CP-54 B</v>
      </c>
      <c r="C110" s="77">
        <f t="shared" si="0"/>
        <v>197.96</v>
      </c>
      <c r="D110" s="77">
        <f t="shared" si="10"/>
        <v>0</v>
      </c>
      <c r="E110" s="88"/>
      <c r="F110" s="77">
        <f t="shared" si="11"/>
        <v>0</v>
      </c>
      <c r="G110" s="78">
        <f t="shared" si="12"/>
        <v>2</v>
      </c>
      <c r="H110" s="79">
        <f>VLOOKUP(A110,'Transporte - FU'!$A$3:$C$166,3,0)</f>
        <v>0.5</v>
      </c>
      <c r="I110" s="78" t="str">
        <f>VLOOKUP(A110,'Transporte - FU'!$A$3:$C$166,2,0)</f>
        <v>EQ001</v>
      </c>
      <c r="J110" s="80">
        <f>VLOOKUP(I110,CHP!$A$13:$D$215,3,0)</f>
        <v>434.55</v>
      </c>
      <c r="K110" s="78" t="s">
        <v>238</v>
      </c>
      <c r="L110" s="136"/>
      <c r="M110" s="81">
        <f t="shared" si="13"/>
        <v>0</v>
      </c>
    </row>
    <row r="111" spans="1:13" s="72" customFormat="1" ht="14.25" x14ac:dyDescent="0.2">
      <c r="A111" s="151">
        <v>341150</v>
      </c>
      <c r="B111" s="69" t="str">
        <f>VLOOKUP(A111, CHP!$A$13:D$215,2,0)</f>
        <v>Rolo vibratório liso autoprop. CA 15 A</v>
      </c>
      <c r="C111" s="77">
        <f t="shared" si="0"/>
        <v>197.96</v>
      </c>
      <c r="D111" s="77">
        <f t="shared" si="10"/>
        <v>0</v>
      </c>
      <c r="E111" s="88"/>
      <c r="F111" s="77">
        <f t="shared" si="11"/>
        <v>0</v>
      </c>
      <c r="G111" s="78">
        <f t="shared" si="12"/>
        <v>2</v>
      </c>
      <c r="H111" s="79">
        <f>VLOOKUP(A111,'Transporte - FU'!$A$3:$C$166,3,0)</f>
        <v>0.5</v>
      </c>
      <c r="I111" s="78" t="str">
        <f>VLOOKUP(A111,'Transporte - FU'!$A$3:$C$166,2,0)</f>
        <v>EQ001</v>
      </c>
      <c r="J111" s="80">
        <f>VLOOKUP(I111,CHP!$A$13:$D$215,3,0)</f>
        <v>434.55</v>
      </c>
      <c r="K111" s="78" t="s">
        <v>238</v>
      </c>
      <c r="L111" s="136"/>
      <c r="M111" s="81">
        <f t="shared" si="13"/>
        <v>0</v>
      </c>
    </row>
    <row r="112" spans="1:13" s="72" customFormat="1" ht="14.25" x14ac:dyDescent="0.2">
      <c r="A112" s="151">
        <v>341680</v>
      </c>
      <c r="B112" s="69" t="str">
        <f>VLOOKUP(A112, CHP!$A$13:D$215,2,0)</f>
        <v>Rolo vibratório liso autoprop. CS-44 B</v>
      </c>
      <c r="C112" s="77">
        <f t="shared" si="0"/>
        <v>197.96</v>
      </c>
      <c r="D112" s="77">
        <f t="shared" si="10"/>
        <v>0</v>
      </c>
      <c r="E112" s="88"/>
      <c r="F112" s="77">
        <f t="shared" si="11"/>
        <v>0</v>
      </c>
      <c r="G112" s="78">
        <f t="shared" si="12"/>
        <v>2</v>
      </c>
      <c r="H112" s="79">
        <f>VLOOKUP(A112,'Transporte - FU'!$A$3:$C$166,3,0)</f>
        <v>0.5</v>
      </c>
      <c r="I112" s="78" t="str">
        <f>VLOOKUP(A112,'Transporte - FU'!$A$3:$C$166,2,0)</f>
        <v>EQ001</v>
      </c>
      <c r="J112" s="80">
        <f>VLOOKUP(I112,CHP!$A$13:$D$215,3,0)</f>
        <v>434.55</v>
      </c>
      <c r="K112" s="78" t="s">
        <v>238</v>
      </c>
      <c r="L112" s="136"/>
      <c r="M112" s="81">
        <f t="shared" si="13"/>
        <v>0</v>
      </c>
    </row>
    <row r="113" spans="1:13" s="72" customFormat="1" ht="14.25" x14ac:dyDescent="0.2">
      <c r="A113" s="151">
        <v>340840</v>
      </c>
      <c r="B113" s="69" t="str">
        <f>VLOOKUP(A113, CHP!$A$13:D$215,2,0)</f>
        <v>Rolo vibratório liso autoprop. CS-54 B</v>
      </c>
      <c r="C113" s="77">
        <f t="shared" si="0"/>
        <v>197.96</v>
      </c>
      <c r="D113" s="77">
        <f t="shared" si="10"/>
        <v>0</v>
      </c>
      <c r="E113" s="88"/>
      <c r="F113" s="77">
        <f t="shared" si="11"/>
        <v>0</v>
      </c>
      <c r="G113" s="78">
        <f t="shared" si="12"/>
        <v>2</v>
      </c>
      <c r="H113" s="79">
        <f>VLOOKUP(A113,'Transporte - FU'!$A$3:$C$166,3,0)</f>
        <v>0.5</v>
      </c>
      <c r="I113" s="78" t="str">
        <f>VLOOKUP(A113,'Transporte - FU'!$A$3:$C$166,2,0)</f>
        <v>EQ001</v>
      </c>
      <c r="J113" s="80">
        <f>VLOOKUP(I113,CHP!$A$13:$D$215,3,0)</f>
        <v>434.55</v>
      </c>
      <c r="K113" s="78" t="s">
        <v>238</v>
      </c>
      <c r="L113" s="136"/>
      <c r="M113" s="81">
        <f t="shared" si="13"/>
        <v>0</v>
      </c>
    </row>
    <row r="114" spans="1:13" s="72" customFormat="1" ht="14.25" x14ac:dyDescent="0.2">
      <c r="A114" s="151">
        <v>340250</v>
      </c>
      <c r="B114" s="69" t="str">
        <f>VLOOKUP(A114, CHP!$A$13:D$215,2,0)</f>
        <v>Rolo vibratório liso autoprop. CB 10</v>
      </c>
      <c r="C114" s="77">
        <f t="shared" si="0"/>
        <v>197.96</v>
      </c>
      <c r="D114" s="77">
        <f t="shared" si="10"/>
        <v>0</v>
      </c>
      <c r="E114" s="88"/>
      <c r="F114" s="77">
        <f t="shared" si="11"/>
        <v>0</v>
      </c>
      <c r="G114" s="78">
        <f t="shared" si="12"/>
        <v>2</v>
      </c>
      <c r="H114" s="79">
        <f>VLOOKUP(A114,'Transporte - FU'!$A$3:$C$166,3,0)</f>
        <v>0.5</v>
      </c>
      <c r="I114" s="78" t="str">
        <f>VLOOKUP(A114,'Transporte - FU'!$A$3:$C$166,2,0)</f>
        <v>EQ001</v>
      </c>
      <c r="J114" s="80">
        <f>VLOOKUP(I114,CHP!$A$13:$D$215,3,0)</f>
        <v>434.55</v>
      </c>
      <c r="K114" s="78" t="s">
        <v>238</v>
      </c>
      <c r="L114" s="136"/>
      <c r="M114" s="81">
        <f t="shared" si="13"/>
        <v>0</v>
      </c>
    </row>
    <row r="115" spans="1:13" s="72" customFormat="1" ht="14.25" x14ac:dyDescent="0.2">
      <c r="A115" s="151">
        <v>300060</v>
      </c>
      <c r="B115" s="69" t="str">
        <f>VLOOKUP(A115, CHP!$A$13:D$215,2,0)</f>
        <v>Tanque água sem bomba 6000 l</v>
      </c>
      <c r="C115" s="77">
        <f t="shared" si="0"/>
        <v>197.96</v>
      </c>
      <c r="D115" s="77">
        <f t="shared" si="10"/>
        <v>0</v>
      </c>
      <c r="E115" s="88"/>
      <c r="F115" s="77">
        <f t="shared" si="11"/>
        <v>0</v>
      </c>
      <c r="G115" s="78">
        <f t="shared" si="12"/>
        <v>2</v>
      </c>
      <c r="H115" s="79">
        <f>VLOOKUP(A115,'Transporte - FU'!$A$3:$C$166,3,0)</f>
        <v>1</v>
      </c>
      <c r="I115" s="78" t="str">
        <f>VLOOKUP(A115,'Transporte - FU'!$A$3:$C$166,2,0)</f>
        <v>EQ001</v>
      </c>
      <c r="J115" s="80">
        <f>VLOOKUP(I115,CHP!$A$13:$D$215,3,0)</f>
        <v>434.55</v>
      </c>
      <c r="K115" s="78" t="s">
        <v>238</v>
      </c>
      <c r="L115" s="136"/>
      <c r="M115" s="81">
        <f t="shared" si="13"/>
        <v>0</v>
      </c>
    </row>
    <row r="116" spans="1:13" s="72" customFormat="1" ht="14.25" x14ac:dyDescent="0.2">
      <c r="A116" s="151">
        <v>300220</v>
      </c>
      <c r="B116" s="69" t="str">
        <f>VLOOKUP(A116, CHP!$A$13:D$215,2,0)</f>
        <v>Tanque depósito asfalto borracha 20 t</v>
      </c>
      <c r="C116" s="77">
        <f t="shared" si="0"/>
        <v>197.96</v>
      </c>
      <c r="D116" s="77">
        <f t="shared" si="10"/>
        <v>0</v>
      </c>
      <c r="E116" s="88"/>
      <c r="F116" s="77">
        <f t="shared" si="11"/>
        <v>0</v>
      </c>
      <c r="G116" s="78">
        <f t="shared" si="12"/>
        <v>2</v>
      </c>
      <c r="H116" s="79">
        <f>VLOOKUP(A116,'Transporte - FU'!$A$3:$C$166,3,0)</f>
        <v>1</v>
      </c>
      <c r="I116" s="78" t="str">
        <f>VLOOKUP(A116,'Transporte - FU'!$A$3:$C$166,2,0)</f>
        <v>EQ001</v>
      </c>
      <c r="J116" s="80">
        <f>VLOOKUP(I116,CHP!$A$13:$D$215,3,0)</f>
        <v>434.55</v>
      </c>
      <c r="K116" s="78" t="s">
        <v>238</v>
      </c>
      <c r="L116" s="136"/>
      <c r="M116" s="81">
        <f t="shared" si="13"/>
        <v>0</v>
      </c>
    </row>
    <row r="117" spans="1:13" s="72" customFormat="1" ht="14.25" x14ac:dyDescent="0.2">
      <c r="A117" s="151">
        <v>300100</v>
      </c>
      <c r="B117" s="69" t="str">
        <f>VLOOKUP(A117, CHP!$A$13:D$215,2,0)</f>
        <v>Tanque depósito asfalto frio 10000 l</v>
      </c>
      <c r="C117" s="77">
        <f t="shared" si="0"/>
        <v>197.96</v>
      </c>
      <c r="D117" s="77">
        <f t="shared" si="10"/>
        <v>0</v>
      </c>
      <c r="E117" s="88"/>
      <c r="F117" s="77">
        <f t="shared" si="11"/>
        <v>0</v>
      </c>
      <c r="G117" s="78">
        <f t="shared" si="12"/>
        <v>2</v>
      </c>
      <c r="H117" s="79">
        <f>VLOOKUP(A117,'Transporte - FU'!$A$3:$C$166,3,0)</f>
        <v>1</v>
      </c>
      <c r="I117" s="78" t="str">
        <f>VLOOKUP(A117,'Transporte - FU'!$A$3:$C$166,2,0)</f>
        <v>EQ001</v>
      </c>
      <c r="J117" s="80">
        <f>VLOOKUP(I117,CHP!$A$13:$D$215,3,0)</f>
        <v>434.55</v>
      </c>
      <c r="K117" s="78" t="s">
        <v>238</v>
      </c>
      <c r="L117" s="136"/>
      <c r="M117" s="81">
        <f t="shared" si="13"/>
        <v>0</v>
      </c>
    </row>
    <row r="118" spans="1:13" s="72" customFormat="1" ht="14.25" x14ac:dyDescent="0.2">
      <c r="A118" s="151">
        <v>300200</v>
      </c>
      <c r="B118" s="69" t="str">
        <f>VLOOKUP(A118, CHP!$A$13:D$215,2,0)</f>
        <v>Tanque depósito asfalto frio 20000 l</v>
      </c>
      <c r="C118" s="77">
        <f t="shared" si="0"/>
        <v>197.96</v>
      </c>
      <c r="D118" s="77">
        <f t="shared" si="10"/>
        <v>0</v>
      </c>
      <c r="E118" s="88"/>
      <c r="F118" s="77">
        <f t="shared" si="11"/>
        <v>0</v>
      </c>
      <c r="G118" s="78">
        <f t="shared" si="12"/>
        <v>2</v>
      </c>
      <c r="H118" s="79">
        <f>VLOOKUP(A118,'Transporte - FU'!$A$3:$C$166,3,0)</f>
        <v>1</v>
      </c>
      <c r="I118" s="78" t="str">
        <f>VLOOKUP(A118,'Transporte - FU'!$A$3:$C$166,2,0)</f>
        <v>EQ001</v>
      </c>
      <c r="J118" s="80">
        <f>VLOOKUP(I118,CHP!$A$13:$D$215,3,0)</f>
        <v>434.55</v>
      </c>
      <c r="K118" s="78" t="s">
        <v>238</v>
      </c>
      <c r="L118" s="136"/>
      <c r="M118" s="81">
        <f t="shared" si="13"/>
        <v>0</v>
      </c>
    </row>
    <row r="119" spans="1:13" s="72" customFormat="1" ht="14.25" x14ac:dyDescent="0.2">
      <c r="A119" s="151">
        <v>300210</v>
      </c>
      <c r="B119" s="69" t="str">
        <f>VLOOKUP(A119, CHP!$A$13:D$215,2,0)</f>
        <v>Tanque depósito asfalto isotérmico 25 t</v>
      </c>
      <c r="C119" s="77">
        <f t="shared" si="0"/>
        <v>197.96</v>
      </c>
      <c r="D119" s="77">
        <f t="shared" si="10"/>
        <v>0</v>
      </c>
      <c r="E119" s="88"/>
      <c r="F119" s="77">
        <f t="shared" si="11"/>
        <v>0</v>
      </c>
      <c r="G119" s="78">
        <f t="shared" si="12"/>
        <v>2</v>
      </c>
      <c r="H119" s="79">
        <f>VLOOKUP(A119,'Transporte - FU'!$A$3:$C$166,3,0)</f>
        <v>1</v>
      </c>
      <c r="I119" s="78" t="str">
        <f>VLOOKUP(A119,'Transporte - FU'!$A$3:$C$166,2,0)</f>
        <v>EQ001</v>
      </c>
      <c r="J119" s="80">
        <f>VLOOKUP(I119,CHP!$A$13:$D$215,3,0)</f>
        <v>434.55</v>
      </c>
      <c r="K119" s="78" t="s">
        <v>238</v>
      </c>
      <c r="L119" s="136"/>
      <c r="M119" s="81">
        <f t="shared" si="13"/>
        <v>0</v>
      </c>
    </row>
    <row r="120" spans="1:13" s="72" customFormat="1" ht="14.25" x14ac:dyDescent="0.2">
      <c r="A120" s="151">
        <v>341000</v>
      </c>
      <c r="B120" s="69" t="str">
        <f>VLOOKUP(A120, CHP!$A$13:D$215,2,0)</f>
        <v>Trator agrícola  5105 4x4</v>
      </c>
      <c r="C120" s="77">
        <f t="shared" si="0"/>
        <v>197.96</v>
      </c>
      <c r="D120" s="77">
        <f t="shared" si="10"/>
        <v>0</v>
      </c>
      <c r="E120" s="88"/>
      <c r="F120" s="77">
        <f t="shared" si="11"/>
        <v>0</v>
      </c>
      <c r="G120" s="78">
        <f t="shared" si="12"/>
        <v>2</v>
      </c>
      <c r="H120" s="79">
        <f>VLOOKUP(A120,'Transporte - FU'!$A$3:$C$166,3,0)</f>
        <v>0.5</v>
      </c>
      <c r="I120" s="78" t="str">
        <f>VLOOKUP(A120,'Transporte - FU'!$A$3:$C$166,2,0)</f>
        <v>EQ001</v>
      </c>
      <c r="J120" s="80">
        <f>VLOOKUP(I120,CHP!$A$13:$D$215,3,0)</f>
        <v>434.55</v>
      </c>
      <c r="K120" s="78" t="s">
        <v>238</v>
      </c>
      <c r="L120" s="136"/>
      <c r="M120" s="81">
        <f t="shared" si="13"/>
        <v>0</v>
      </c>
    </row>
    <row r="121" spans="1:13" s="72" customFormat="1" ht="14.25" x14ac:dyDescent="0.2">
      <c r="A121" s="151">
        <v>341100</v>
      </c>
      <c r="B121" s="69" t="str">
        <f>VLOOKUP(A121, CHP!$A$13:D$215,2,0)</f>
        <v>Trator agrícola BH-174 4x4</v>
      </c>
      <c r="C121" s="77">
        <f t="shared" si="0"/>
        <v>197.96</v>
      </c>
      <c r="D121" s="77">
        <f t="shared" si="10"/>
        <v>0</v>
      </c>
      <c r="E121" s="88"/>
      <c r="F121" s="77">
        <f t="shared" si="11"/>
        <v>0</v>
      </c>
      <c r="G121" s="78">
        <f t="shared" si="12"/>
        <v>2</v>
      </c>
      <c r="H121" s="79">
        <f>VLOOKUP(A121,'Transporte - FU'!$A$3:$C$166,3,0)</f>
        <v>0.5</v>
      </c>
      <c r="I121" s="78" t="str">
        <f>VLOOKUP(A121,'Transporte - FU'!$A$3:$C$166,2,0)</f>
        <v>EQ001</v>
      </c>
      <c r="J121" s="80">
        <f>VLOOKUP(I121,CHP!$A$13:$D$215,3,0)</f>
        <v>434.55</v>
      </c>
      <c r="K121" s="78" t="s">
        <v>238</v>
      </c>
      <c r="L121" s="136"/>
      <c r="M121" s="81">
        <f t="shared" si="13"/>
        <v>0</v>
      </c>
    </row>
    <row r="122" spans="1:13" s="72" customFormat="1" ht="14.25" x14ac:dyDescent="0.2">
      <c r="A122" s="151">
        <v>341500</v>
      </c>
      <c r="B122" s="69" t="str">
        <f>VLOOKUP(A122, CHP!$A$13:D$215,2,0)</f>
        <v>Trator agrícola c/ roçadeira 150/540</v>
      </c>
      <c r="C122" s="77">
        <f t="shared" si="0"/>
        <v>197.96</v>
      </c>
      <c r="D122" s="77">
        <f t="shared" si="10"/>
        <v>0</v>
      </c>
      <c r="E122" s="88"/>
      <c r="F122" s="77">
        <f t="shared" si="11"/>
        <v>0</v>
      </c>
      <c r="G122" s="78">
        <f t="shared" si="12"/>
        <v>2</v>
      </c>
      <c r="H122" s="79">
        <f>VLOOKUP(A122,'Transporte - FU'!$A$3:$C$166,3,0)</f>
        <v>0.5</v>
      </c>
      <c r="I122" s="78" t="str">
        <f>VLOOKUP(A122,'Transporte - FU'!$A$3:$C$166,2,0)</f>
        <v>EQ001</v>
      </c>
      <c r="J122" s="80">
        <f>VLOOKUP(I122,CHP!$A$13:$D$215,3,0)</f>
        <v>434.55</v>
      </c>
      <c r="K122" s="78" t="s">
        <v>238</v>
      </c>
      <c r="L122" s="136"/>
      <c r="M122" s="81">
        <f t="shared" si="13"/>
        <v>0</v>
      </c>
    </row>
    <row r="123" spans="1:13" s="72" customFormat="1" ht="14.25" x14ac:dyDescent="0.2">
      <c r="A123" s="151">
        <v>310650</v>
      </c>
      <c r="B123" s="69" t="str">
        <f>VLOOKUP(A123, CHP!$A$13:D$215,2,0)</f>
        <v>Trator c/ escarificador D61-EX leve</v>
      </c>
      <c r="C123" s="77">
        <f t="shared" si="0"/>
        <v>197.96</v>
      </c>
      <c r="D123" s="77">
        <f t="shared" si="10"/>
        <v>0</v>
      </c>
      <c r="E123" s="88"/>
      <c r="F123" s="77">
        <f t="shared" si="11"/>
        <v>0</v>
      </c>
      <c r="G123" s="78">
        <f t="shared" si="12"/>
        <v>2</v>
      </c>
      <c r="H123" s="79">
        <f>VLOOKUP(A123,'Transporte - FU'!$A$3:$C$166,3,0)</f>
        <v>1</v>
      </c>
      <c r="I123" s="78" t="str">
        <f>VLOOKUP(A123,'Transporte - FU'!$A$3:$C$166,2,0)</f>
        <v>EQ001</v>
      </c>
      <c r="J123" s="80">
        <f>VLOOKUP(I123,CHP!$A$13:$D$215,3,0)</f>
        <v>434.55</v>
      </c>
      <c r="K123" s="78" t="s">
        <v>238</v>
      </c>
      <c r="L123" s="136"/>
      <c r="M123" s="81">
        <f t="shared" si="13"/>
        <v>0</v>
      </c>
    </row>
    <row r="124" spans="1:13" s="72" customFormat="1" ht="14.25" x14ac:dyDescent="0.2">
      <c r="A124" s="151">
        <v>320650</v>
      </c>
      <c r="B124" s="69" t="str">
        <f>VLOOKUP(A124, CHP!$A$13:D$215,2,0)</f>
        <v>Trator c/ escarificador D61-EX média</v>
      </c>
      <c r="C124" s="77">
        <f t="shared" si="0"/>
        <v>197.96</v>
      </c>
      <c r="D124" s="77">
        <f t="shared" si="10"/>
        <v>0</v>
      </c>
      <c r="E124" s="88"/>
      <c r="F124" s="77">
        <f t="shared" si="11"/>
        <v>0</v>
      </c>
      <c r="G124" s="78">
        <f t="shared" si="12"/>
        <v>2</v>
      </c>
      <c r="H124" s="79">
        <f>VLOOKUP(A124,'Transporte - FU'!$A$3:$C$166,3,0)</f>
        <v>1</v>
      </c>
      <c r="I124" s="78" t="str">
        <f>VLOOKUP(A124,'Transporte - FU'!$A$3:$C$166,2,0)</f>
        <v>EQ001</v>
      </c>
      <c r="J124" s="80">
        <f>VLOOKUP(I124,CHP!$A$13:$D$215,3,0)</f>
        <v>434.55</v>
      </c>
      <c r="K124" s="78" t="s">
        <v>238</v>
      </c>
      <c r="L124" s="136"/>
      <c r="M124" s="81">
        <f t="shared" si="13"/>
        <v>0</v>
      </c>
    </row>
    <row r="125" spans="1:13" s="72" customFormat="1" ht="14.25" x14ac:dyDescent="0.2">
      <c r="A125" s="151">
        <v>330650</v>
      </c>
      <c r="B125" s="69" t="str">
        <f>VLOOKUP(A125, CHP!$A$13:D$215,2,0)</f>
        <v>Trator c/ escarificador D61-EX severa</v>
      </c>
      <c r="C125" s="77">
        <f t="shared" si="0"/>
        <v>197.96</v>
      </c>
      <c r="D125" s="77">
        <f t="shared" si="10"/>
        <v>0</v>
      </c>
      <c r="E125" s="88"/>
      <c r="F125" s="77">
        <f t="shared" si="11"/>
        <v>0</v>
      </c>
      <c r="G125" s="78">
        <f t="shared" si="12"/>
        <v>2</v>
      </c>
      <c r="H125" s="79">
        <f>VLOOKUP(A125,'Transporte - FU'!$A$3:$C$166,3,0)</f>
        <v>1</v>
      </c>
      <c r="I125" s="78" t="str">
        <f>VLOOKUP(A125,'Transporte - FU'!$A$3:$C$166,2,0)</f>
        <v>EQ001</v>
      </c>
      <c r="J125" s="80">
        <f>VLOOKUP(I125,CHP!$A$13:$D$215,3,0)</f>
        <v>434.55</v>
      </c>
      <c r="K125" s="78" t="s">
        <v>238</v>
      </c>
      <c r="L125" s="136"/>
      <c r="M125" s="81">
        <f t="shared" si="13"/>
        <v>0</v>
      </c>
    </row>
    <row r="126" spans="1:13" s="72" customFormat="1" ht="14.25" x14ac:dyDescent="0.2">
      <c r="A126" s="151">
        <v>310080</v>
      </c>
      <c r="B126" s="69" t="str">
        <f>VLOOKUP(A126, CHP!$A$13:D$215,2,0)</f>
        <v>Trator c/ escarificador D8-T leve</v>
      </c>
      <c r="C126" s="77">
        <f t="shared" si="0"/>
        <v>197.96</v>
      </c>
      <c r="D126" s="77">
        <f t="shared" si="10"/>
        <v>0</v>
      </c>
      <c r="E126" s="88"/>
      <c r="F126" s="77">
        <f t="shared" si="11"/>
        <v>0</v>
      </c>
      <c r="G126" s="78">
        <f t="shared" si="12"/>
        <v>2</v>
      </c>
      <c r="H126" s="79">
        <f>VLOOKUP(A126,'Transporte - FU'!$A$3:$C$166,3,0)</f>
        <v>1</v>
      </c>
      <c r="I126" s="78" t="str">
        <f>VLOOKUP(A126,'Transporte - FU'!$A$3:$C$166,2,0)</f>
        <v>EQ001</v>
      </c>
      <c r="J126" s="80">
        <f>VLOOKUP(I126,CHP!$A$13:$D$215,3,0)</f>
        <v>434.55</v>
      </c>
      <c r="K126" s="78" t="s">
        <v>238</v>
      </c>
      <c r="L126" s="136"/>
      <c r="M126" s="81">
        <f t="shared" si="13"/>
        <v>0</v>
      </c>
    </row>
    <row r="127" spans="1:13" s="72" customFormat="1" ht="14.25" x14ac:dyDescent="0.2">
      <c r="A127" s="151">
        <v>320080</v>
      </c>
      <c r="B127" s="69" t="str">
        <f>VLOOKUP(A127, CHP!$A$13:D$215,2,0)</f>
        <v>Trator c/ escarificador D8-T média</v>
      </c>
      <c r="C127" s="77">
        <f t="shared" si="0"/>
        <v>197.96</v>
      </c>
      <c r="D127" s="77">
        <f t="shared" si="10"/>
        <v>0</v>
      </c>
      <c r="E127" s="88"/>
      <c r="F127" s="77">
        <f t="shared" si="11"/>
        <v>0</v>
      </c>
      <c r="G127" s="78">
        <f t="shared" si="12"/>
        <v>2</v>
      </c>
      <c r="H127" s="79">
        <f>VLOOKUP(A127,'Transporte - FU'!$A$3:$C$166,3,0)</f>
        <v>1</v>
      </c>
      <c r="I127" s="78" t="str">
        <f>VLOOKUP(A127,'Transporte - FU'!$A$3:$C$166,2,0)</f>
        <v>EQ001</v>
      </c>
      <c r="J127" s="80">
        <f>VLOOKUP(I127,CHP!$A$13:$D$215,3,0)</f>
        <v>434.55</v>
      </c>
      <c r="K127" s="78" t="s">
        <v>238</v>
      </c>
      <c r="L127" s="136"/>
      <c r="M127" s="81">
        <f t="shared" si="13"/>
        <v>0</v>
      </c>
    </row>
    <row r="128" spans="1:13" s="72" customFormat="1" ht="14.25" x14ac:dyDescent="0.2">
      <c r="A128" s="151">
        <v>330080</v>
      </c>
      <c r="B128" s="69" t="str">
        <f>VLOOKUP(A128, CHP!$A$13:D$215,2,0)</f>
        <v>Trator c/ escarificador D8-T severa</v>
      </c>
      <c r="C128" s="77">
        <f t="shared" si="0"/>
        <v>197.96</v>
      </c>
      <c r="D128" s="77">
        <f t="shared" si="10"/>
        <v>0</v>
      </c>
      <c r="E128" s="88"/>
      <c r="F128" s="77">
        <f t="shared" si="11"/>
        <v>0</v>
      </c>
      <c r="G128" s="78">
        <f t="shared" si="12"/>
        <v>2</v>
      </c>
      <c r="H128" s="79">
        <f>VLOOKUP(A128,'Transporte - FU'!$A$3:$C$166,3,0)</f>
        <v>1</v>
      </c>
      <c r="I128" s="78" t="str">
        <f>VLOOKUP(A128,'Transporte - FU'!$A$3:$C$166,2,0)</f>
        <v>EQ001</v>
      </c>
      <c r="J128" s="80">
        <f>VLOOKUP(I128,CHP!$A$13:$D$215,3,0)</f>
        <v>434.55</v>
      </c>
      <c r="K128" s="78" t="s">
        <v>238</v>
      </c>
      <c r="L128" s="136"/>
      <c r="M128" s="81">
        <f t="shared" si="13"/>
        <v>0</v>
      </c>
    </row>
    <row r="129" spans="1:13" s="72" customFormat="1" ht="14.25" x14ac:dyDescent="0.2">
      <c r="A129" s="151">
        <v>320140</v>
      </c>
      <c r="B129" s="69" t="str">
        <f>VLOOKUP(A129, CHP!$A$13:D$215,2,0)</f>
        <v>Trator lâmina D-150B média</v>
      </c>
      <c r="C129" s="77">
        <f t="shared" si="0"/>
        <v>197.96</v>
      </c>
      <c r="D129" s="77">
        <f t="shared" si="10"/>
        <v>0</v>
      </c>
      <c r="E129" s="88"/>
      <c r="F129" s="77">
        <f t="shared" si="11"/>
        <v>0</v>
      </c>
      <c r="G129" s="78">
        <f t="shared" si="12"/>
        <v>2</v>
      </c>
      <c r="H129" s="79">
        <f>VLOOKUP(A129,'Transporte - FU'!$A$3:$C$166,3,0)</f>
        <v>1</v>
      </c>
      <c r="I129" s="78" t="str">
        <f>VLOOKUP(A129,'Transporte - FU'!$A$3:$C$166,2,0)</f>
        <v>EQ001</v>
      </c>
      <c r="J129" s="80">
        <f>VLOOKUP(I129,CHP!$A$13:$D$215,3,0)</f>
        <v>434.55</v>
      </c>
      <c r="K129" s="78" t="s">
        <v>238</v>
      </c>
      <c r="L129" s="136"/>
      <c r="M129" s="81">
        <f t="shared" si="13"/>
        <v>0</v>
      </c>
    </row>
    <row r="130" spans="1:13" s="72" customFormat="1" ht="14.25" x14ac:dyDescent="0.2">
      <c r="A130" s="151">
        <v>310040</v>
      </c>
      <c r="B130" s="69" t="str">
        <f>VLOOKUP(A130, CHP!$A$13:D$215,2,0)</f>
        <v>Trator lâmina D4 leve</v>
      </c>
      <c r="C130" s="77">
        <f t="shared" si="0"/>
        <v>197.96</v>
      </c>
      <c r="D130" s="77">
        <f t="shared" si="10"/>
        <v>0</v>
      </c>
      <c r="E130" s="88"/>
      <c r="F130" s="77">
        <f t="shared" si="11"/>
        <v>0</v>
      </c>
      <c r="G130" s="78">
        <f t="shared" si="12"/>
        <v>2</v>
      </c>
      <c r="H130" s="79">
        <f>VLOOKUP(A130,'Transporte - FU'!$A$3:$C$166,3,0)</f>
        <v>0.5</v>
      </c>
      <c r="I130" s="78" t="str">
        <f>VLOOKUP(A130,'Transporte - FU'!$A$3:$C$166,2,0)</f>
        <v>EQ001</v>
      </c>
      <c r="J130" s="80">
        <f>VLOOKUP(I130,CHP!$A$13:$D$215,3,0)</f>
        <v>434.55</v>
      </c>
      <c r="K130" s="78" t="s">
        <v>238</v>
      </c>
      <c r="L130" s="136"/>
      <c r="M130" s="81">
        <f t="shared" si="13"/>
        <v>0</v>
      </c>
    </row>
    <row r="131" spans="1:13" s="72" customFormat="1" ht="14.25" x14ac:dyDescent="0.2">
      <c r="A131" s="151">
        <v>320040</v>
      </c>
      <c r="B131" s="69" t="str">
        <f>VLOOKUP(A131, CHP!$A$13:D$215,2,0)</f>
        <v>Trator lâmina D4 média</v>
      </c>
      <c r="C131" s="77">
        <f t="shared" si="0"/>
        <v>197.96</v>
      </c>
      <c r="D131" s="77">
        <f t="shared" si="10"/>
        <v>0</v>
      </c>
      <c r="E131" s="88"/>
      <c r="F131" s="77">
        <f t="shared" si="11"/>
        <v>0</v>
      </c>
      <c r="G131" s="78">
        <f t="shared" si="12"/>
        <v>2</v>
      </c>
      <c r="H131" s="79">
        <f>VLOOKUP(A131,'Transporte - FU'!$A$3:$C$166,3,0)</f>
        <v>0.5</v>
      </c>
      <c r="I131" s="78" t="str">
        <f>VLOOKUP(A131,'Transporte - FU'!$A$3:$C$166,2,0)</f>
        <v>EQ001</v>
      </c>
      <c r="J131" s="80">
        <f>VLOOKUP(I131,CHP!$A$13:$D$215,3,0)</f>
        <v>434.55</v>
      </c>
      <c r="K131" s="78" t="s">
        <v>238</v>
      </c>
      <c r="L131" s="136"/>
      <c r="M131" s="81">
        <f t="shared" si="13"/>
        <v>0</v>
      </c>
    </row>
    <row r="132" spans="1:13" s="72" customFormat="1" ht="14.25" x14ac:dyDescent="0.2">
      <c r="A132" s="151">
        <v>330040</v>
      </c>
      <c r="B132" s="69" t="str">
        <f>VLOOKUP(A132, CHP!$A$13:D$215,2,0)</f>
        <v>Trator lâmina D4 severa</v>
      </c>
      <c r="C132" s="77">
        <f t="shared" si="0"/>
        <v>197.96</v>
      </c>
      <c r="D132" s="77">
        <f t="shared" si="10"/>
        <v>0</v>
      </c>
      <c r="E132" s="88"/>
      <c r="F132" s="77">
        <f t="shared" si="11"/>
        <v>0</v>
      </c>
      <c r="G132" s="78">
        <f t="shared" si="12"/>
        <v>2</v>
      </c>
      <c r="H132" s="79">
        <f>VLOOKUP(A132,'Transporte - FU'!$A$3:$C$166,3,0)</f>
        <v>0.5</v>
      </c>
      <c r="I132" s="78" t="str">
        <f>VLOOKUP(A132,'Transporte - FU'!$A$3:$C$166,2,0)</f>
        <v>EQ001</v>
      </c>
      <c r="J132" s="80">
        <f>VLOOKUP(I132,CHP!$A$13:$D$215,3,0)</f>
        <v>434.55</v>
      </c>
      <c r="K132" s="78" t="s">
        <v>238</v>
      </c>
      <c r="L132" s="136"/>
      <c r="M132" s="81">
        <f t="shared" si="13"/>
        <v>0</v>
      </c>
    </row>
    <row r="133" spans="1:13" s="72" customFormat="1" ht="14.25" x14ac:dyDescent="0.2">
      <c r="A133" s="151">
        <v>310060</v>
      </c>
      <c r="B133" s="69" t="str">
        <f>VLOOKUP(A133, CHP!$A$13:D$215,2,0)</f>
        <v>Trator lâmina D5 leve</v>
      </c>
      <c r="C133" s="77">
        <f t="shared" si="0"/>
        <v>197.96</v>
      </c>
      <c r="D133" s="77">
        <f t="shared" si="10"/>
        <v>0</v>
      </c>
      <c r="E133" s="88"/>
      <c r="F133" s="77">
        <f t="shared" si="11"/>
        <v>0</v>
      </c>
      <c r="G133" s="78">
        <f t="shared" si="12"/>
        <v>2</v>
      </c>
      <c r="H133" s="79">
        <f>VLOOKUP(A133,'Transporte - FU'!$A$3:$C$166,3,0)</f>
        <v>0.5</v>
      </c>
      <c r="I133" s="78" t="str">
        <f>VLOOKUP(A133,'Transporte - FU'!$A$3:$C$166,2,0)</f>
        <v>EQ001</v>
      </c>
      <c r="J133" s="80">
        <f>VLOOKUP(I133,CHP!$A$13:$D$215,3,0)</f>
        <v>434.55</v>
      </c>
      <c r="K133" s="78" t="s">
        <v>238</v>
      </c>
      <c r="L133" s="136"/>
      <c r="M133" s="81">
        <f t="shared" si="13"/>
        <v>0</v>
      </c>
    </row>
    <row r="134" spans="1:13" s="72" customFormat="1" ht="14.25" x14ac:dyDescent="0.2">
      <c r="A134" s="151">
        <v>320060</v>
      </c>
      <c r="B134" s="69" t="str">
        <f>VLOOKUP(A134, CHP!$A$13:D$215,2,0)</f>
        <v>Trator lâmina D5 média</v>
      </c>
      <c r="C134" s="77">
        <f t="shared" si="0"/>
        <v>197.96</v>
      </c>
      <c r="D134" s="77">
        <f t="shared" si="10"/>
        <v>0</v>
      </c>
      <c r="E134" s="88"/>
      <c r="F134" s="77">
        <f t="shared" si="11"/>
        <v>0</v>
      </c>
      <c r="G134" s="78">
        <f t="shared" si="12"/>
        <v>2</v>
      </c>
      <c r="H134" s="79">
        <f>VLOOKUP(A134,'Transporte - FU'!$A$3:$C$166,3,0)</f>
        <v>0.5</v>
      </c>
      <c r="I134" s="78" t="str">
        <f>VLOOKUP(A134,'Transporte - FU'!$A$3:$C$166,2,0)</f>
        <v>EQ001</v>
      </c>
      <c r="J134" s="80">
        <f>VLOOKUP(I134,CHP!$A$13:$D$215,3,0)</f>
        <v>434.55</v>
      </c>
      <c r="K134" s="78" t="s">
        <v>238</v>
      </c>
      <c r="L134" s="136"/>
      <c r="M134" s="81">
        <f t="shared" si="13"/>
        <v>0</v>
      </c>
    </row>
    <row r="135" spans="1:13" s="72" customFormat="1" ht="14.25" x14ac:dyDescent="0.2">
      <c r="A135" s="151">
        <v>330060</v>
      </c>
      <c r="B135" s="69" t="str">
        <f>VLOOKUP(A135, CHP!$A$13:D$215,2,0)</f>
        <v>Trator lâmina D5 severa</v>
      </c>
      <c r="C135" s="77">
        <f t="shared" si="0"/>
        <v>197.96</v>
      </c>
      <c r="D135" s="77">
        <f t="shared" si="10"/>
        <v>0</v>
      </c>
      <c r="E135" s="88"/>
      <c r="F135" s="77">
        <f t="shared" si="11"/>
        <v>0</v>
      </c>
      <c r="G135" s="78">
        <f t="shared" si="12"/>
        <v>2</v>
      </c>
      <c r="H135" s="79">
        <f>VLOOKUP(A135,'Transporte - FU'!$A$3:$C$166,3,0)</f>
        <v>0.5</v>
      </c>
      <c r="I135" s="78" t="str">
        <f>VLOOKUP(A135,'Transporte - FU'!$A$3:$C$166,2,0)</f>
        <v>EQ001</v>
      </c>
      <c r="J135" s="80">
        <f>VLOOKUP(I135,CHP!$A$13:$D$215,3,0)</f>
        <v>434.55</v>
      </c>
      <c r="K135" s="78" t="s">
        <v>238</v>
      </c>
      <c r="L135" s="136"/>
      <c r="M135" s="81">
        <f t="shared" si="13"/>
        <v>0</v>
      </c>
    </row>
    <row r="136" spans="1:13" s="72" customFormat="1" ht="14.25" x14ac:dyDescent="0.2">
      <c r="A136" s="151">
        <v>311650</v>
      </c>
      <c r="B136" s="69" t="str">
        <f>VLOOKUP(A136, CHP!$A$13:D$215,2,0)</f>
        <v>Trator lâmina D61-EX leve</v>
      </c>
      <c r="C136" s="77">
        <f t="shared" si="0"/>
        <v>197.96</v>
      </c>
      <c r="D136" s="77">
        <f t="shared" si="10"/>
        <v>0</v>
      </c>
      <c r="E136" s="88"/>
      <c r="F136" s="77">
        <f t="shared" si="11"/>
        <v>0</v>
      </c>
      <c r="G136" s="78">
        <f t="shared" si="12"/>
        <v>2</v>
      </c>
      <c r="H136" s="79">
        <f>VLOOKUP(A136,'Transporte - FU'!$A$3:$C$166,3,0)</f>
        <v>0.5</v>
      </c>
      <c r="I136" s="78" t="str">
        <f>VLOOKUP(A136,'Transporte - FU'!$A$3:$C$166,2,0)</f>
        <v>EQ001</v>
      </c>
      <c r="J136" s="80">
        <f>VLOOKUP(I136,CHP!$A$13:$D$215,3,0)</f>
        <v>434.55</v>
      </c>
      <c r="K136" s="78" t="s">
        <v>238</v>
      </c>
      <c r="L136" s="136"/>
      <c r="M136" s="81">
        <f t="shared" si="13"/>
        <v>0</v>
      </c>
    </row>
    <row r="137" spans="1:13" s="72" customFormat="1" ht="14.25" x14ac:dyDescent="0.2">
      <c r="A137" s="151">
        <v>321650</v>
      </c>
      <c r="B137" s="69" t="str">
        <f>VLOOKUP(A137, CHP!$A$13:D$215,2,0)</f>
        <v>Trator lâmina D61-EX média</v>
      </c>
      <c r="C137" s="77">
        <f t="shared" si="0"/>
        <v>197.96</v>
      </c>
      <c r="D137" s="77">
        <f t="shared" si="10"/>
        <v>0</v>
      </c>
      <c r="E137" s="88"/>
      <c r="F137" s="77">
        <f t="shared" si="11"/>
        <v>0</v>
      </c>
      <c r="G137" s="78">
        <f t="shared" si="12"/>
        <v>2</v>
      </c>
      <c r="H137" s="79">
        <f>VLOOKUP(A137,'Transporte - FU'!$A$3:$C$166,3,0)</f>
        <v>0.5</v>
      </c>
      <c r="I137" s="78" t="str">
        <f>VLOOKUP(A137,'Transporte - FU'!$A$3:$C$166,2,0)</f>
        <v>EQ001</v>
      </c>
      <c r="J137" s="80">
        <f>VLOOKUP(I137,CHP!$A$13:$D$215,3,0)</f>
        <v>434.55</v>
      </c>
      <c r="K137" s="78" t="s">
        <v>238</v>
      </c>
      <c r="L137" s="136"/>
      <c r="M137" s="81">
        <f t="shared" si="13"/>
        <v>0</v>
      </c>
    </row>
    <row r="138" spans="1:13" s="72" customFormat="1" ht="14.25" x14ac:dyDescent="0.2">
      <c r="A138" s="151">
        <v>331650</v>
      </c>
      <c r="B138" s="69" t="str">
        <f>VLOOKUP(A138, CHP!$A$13:D$215,2,0)</f>
        <v>Trator lâmina D61-EX severa</v>
      </c>
      <c r="C138" s="77">
        <f t="shared" si="0"/>
        <v>197.96</v>
      </c>
      <c r="D138" s="77">
        <f t="shared" ref="D138:D155" si="14">$M$5</f>
        <v>0</v>
      </c>
      <c r="E138" s="88"/>
      <c r="F138" s="77">
        <f t="shared" ref="F138:F155" si="15">ROUNDUP(E138/($M$9*$M$8),0)</f>
        <v>0</v>
      </c>
      <c r="G138" s="78">
        <f t="shared" ref="G138:G155" si="16">IF(A138=I138,1,2)</f>
        <v>2</v>
      </c>
      <c r="H138" s="79">
        <f>VLOOKUP(A138,'Transporte - FU'!$A$3:$C$166,3,0)</f>
        <v>0.5</v>
      </c>
      <c r="I138" s="78" t="str">
        <f>VLOOKUP(A138,'Transporte - FU'!$A$3:$C$166,2,0)</f>
        <v>EQ001</v>
      </c>
      <c r="J138" s="80">
        <f>VLOOKUP(I138,CHP!$A$13:$D$215,3,0)</f>
        <v>434.55</v>
      </c>
      <c r="K138" s="78" t="s">
        <v>238</v>
      </c>
      <c r="L138" s="136"/>
      <c r="M138" s="81">
        <f t="shared" ref="M138:M155" si="17">IFERROR(((C138*G138*H138)/$M$6+(D138*G138*H138)/$M$7)*J138*F138,0)+(F138*L138)</f>
        <v>0</v>
      </c>
    </row>
    <row r="139" spans="1:13" s="72" customFormat="1" ht="14.25" x14ac:dyDescent="0.2">
      <c r="A139" s="151">
        <v>310180</v>
      </c>
      <c r="B139" s="69" t="str">
        <f>VLOOKUP(A139, CHP!$A$13:D$215,2,0)</f>
        <v>Trator lâmina D8-T leve</v>
      </c>
      <c r="C139" s="77">
        <f t="shared" si="0"/>
        <v>197.96</v>
      </c>
      <c r="D139" s="77">
        <f t="shared" si="14"/>
        <v>0</v>
      </c>
      <c r="E139" s="88"/>
      <c r="F139" s="77">
        <f t="shared" si="15"/>
        <v>0</v>
      </c>
      <c r="G139" s="78">
        <f t="shared" si="16"/>
        <v>2</v>
      </c>
      <c r="H139" s="79">
        <f>VLOOKUP(A139,'Transporte - FU'!$A$3:$C$166,3,0)</f>
        <v>1</v>
      </c>
      <c r="I139" s="78" t="str">
        <f>VLOOKUP(A139,'Transporte - FU'!$A$3:$C$166,2,0)</f>
        <v>EQ001</v>
      </c>
      <c r="J139" s="80">
        <f>VLOOKUP(I139,CHP!$A$13:$D$215,3,0)</f>
        <v>434.55</v>
      </c>
      <c r="K139" s="78" t="s">
        <v>238</v>
      </c>
      <c r="L139" s="136"/>
      <c r="M139" s="81">
        <f t="shared" si="17"/>
        <v>0</v>
      </c>
    </row>
    <row r="140" spans="1:13" s="72" customFormat="1" ht="14.25" x14ac:dyDescent="0.2">
      <c r="A140" s="151">
        <v>320180</v>
      </c>
      <c r="B140" s="69" t="str">
        <f>VLOOKUP(A140, CHP!$A$13:D$215,2,0)</f>
        <v>Trator lâmina D8-T média</v>
      </c>
      <c r="C140" s="77">
        <f t="shared" si="0"/>
        <v>197.96</v>
      </c>
      <c r="D140" s="77">
        <f t="shared" si="14"/>
        <v>0</v>
      </c>
      <c r="E140" s="88"/>
      <c r="F140" s="77">
        <f t="shared" si="15"/>
        <v>0</v>
      </c>
      <c r="G140" s="78">
        <f t="shared" si="16"/>
        <v>2</v>
      </c>
      <c r="H140" s="79">
        <f>VLOOKUP(A140,'Transporte - FU'!$A$3:$C$166,3,0)</f>
        <v>1</v>
      </c>
      <c r="I140" s="78" t="str">
        <f>VLOOKUP(A140,'Transporte - FU'!$A$3:$C$166,2,0)</f>
        <v>EQ001</v>
      </c>
      <c r="J140" s="80">
        <f>VLOOKUP(I140,CHP!$A$13:$D$215,3,0)</f>
        <v>434.55</v>
      </c>
      <c r="K140" s="78" t="s">
        <v>238</v>
      </c>
      <c r="L140" s="136"/>
      <c r="M140" s="81">
        <f t="shared" si="17"/>
        <v>0</v>
      </c>
    </row>
    <row r="141" spans="1:13" s="72" customFormat="1" ht="14.25" x14ac:dyDescent="0.2">
      <c r="A141" s="151">
        <v>330180</v>
      </c>
      <c r="B141" s="69" t="str">
        <f>VLOOKUP(A141, CHP!$A$13:D$215,2,0)</f>
        <v>Trator lâmina D8-T severa</v>
      </c>
      <c r="C141" s="77">
        <f t="shared" si="0"/>
        <v>197.96</v>
      </c>
      <c r="D141" s="77">
        <f t="shared" si="14"/>
        <v>0</v>
      </c>
      <c r="E141" s="88"/>
      <c r="F141" s="77">
        <f t="shared" si="15"/>
        <v>0</v>
      </c>
      <c r="G141" s="78">
        <f t="shared" si="16"/>
        <v>2</v>
      </c>
      <c r="H141" s="79">
        <f>VLOOKUP(A141,'Transporte - FU'!$A$3:$C$166,3,0)</f>
        <v>1</v>
      </c>
      <c r="I141" s="78" t="str">
        <f>VLOOKUP(A141,'Transporte - FU'!$A$3:$C$166,2,0)</f>
        <v>EQ001</v>
      </c>
      <c r="J141" s="80">
        <f>VLOOKUP(I141,CHP!$A$13:$D$215,3,0)</f>
        <v>434.55</v>
      </c>
      <c r="K141" s="78" t="s">
        <v>238</v>
      </c>
      <c r="L141" s="136"/>
      <c r="M141" s="81">
        <f t="shared" si="17"/>
        <v>0</v>
      </c>
    </row>
    <row r="142" spans="1:13" s="72" customFormat="1" ht="14.25" x14ac:dyDescent="0.2">
      <c r="A142" s="151">
        <v>320700</v>
      </c>
      <c r="B142" s="69" t="str">
        <f>VLOOKUP(A142, CHP!$A$13:D$215,2,0)</f>
        <v>Trator lâmina 7D média</v>
      </c>
      <c r="C142" s="77">
        <f t="shared" si="0"/>
        <v>197.96</v>
      </c>
      <c r="D142" s="77">
        <f t="shared" si="14"/>
        <v>0</v>
      </c>
      <c r="E142" s="88"/>
      <c r="F142" s="77">
        <f t="shared" si="15"/>
        <v>0</v>
      </c>
      <c r="G142" s="78">
        <f t="shared" si="16"/>
        <v>2</v>
      </c>
      <c r="H142" s="79">
        <f>VLOOKUP(A142,'Transporte - FU'!$A$3:$C$166,3,0)</f>
        <v>0.5</v>
      </c>
      <c r="I142" s="78" t="str">
        <f>VLOOKUP(A142,'Transporte - FU'!$A$3:$C$166,2,0)</f>
        <v>EQ001</v>
      </c>
      <c r="J142" s="80">
        <f>VLOOKUP(I142,CHP!$A$13:$D$215,3,0)</f>
        <v>434.55</v>
      </c>
      <c r="K142" s="78" t="s">
        <v>238</v>
      </c>
      <c r="L142" s="136"/>
      <c r="M142" s="81">
        <f t="shared" si="17"/>
        <v>0</v>
      </c>
    </row>
    <row r="143" spans="1:13" s="72" customFormat="1" ht="14.25" x14ac:dyDescent="0.2">
      <c r="A143" s="151">
        <v>300140</v>
      </c>
      <c r="B143" s="69" t="str">
        <f>VLOOKUP(A143, CHP!$A$13:D$215,2,0)</f>
        <v>Usina asfalto móvel contra-fluxo 50/100 t/hora</v>
      </c>
      <c r="C143" s="77">
        <f t="shared" si="0"/>
        <v>197.96</v>
      </c>
      <c r="D143" s="77">
        <f t="shared" si="14"/>
        <v>0</v>
      </c>
      <c r="E143" s="88"/>
      <c r="F143" s="77">
        <f t="shared" si="15"/>
        <v>0</v>
      </c>
      <c r="G143" s="78">
        <f t="shared" si="16"/>
        <v>1</v>
      </c>
      <c r="H143" s="79">
        <f>VLOOKUP(A143,'Transporte - FU'!$A$3:$C$166,3,0)</f>
        <v>1</v>
      </c>
      <c r="I143" s="78">
        <f>VLOOKUP(A143,'Transporte - FU'!$A$3:$C$166,2,0)</f>
        <v>300140</v>
      </c>
      <c r="J143" s="80">
        <f>VLOOKUP(I143,CHP!$A$13:$D$215,3,0)</f>
        <v>709.52</v>
      </c>
      <c r="K143" s="78" t="s">
        <v>238</v>
      </c>
      <c r="L143" s="136"/>
      <c r="M143" s="81">
        <f t="shared" si="17"/>
        <v>0</v>
      </c>
    </row>
    <row r="144" spans="1:13" s="72" customFormat="1" ht="14.25" x14ac:dyDescent="0.2">
      <c r="A144" s="151">
        <v>300170</v>
      </c>
      <c r="B144" s="69" t="str">
        <f>VLOOKUP(A144, CHP!$A$13:D$215,2,0)</f>
        <v>Usina asfalto móvel contra-fluxo 60/120 t/hora asf. borracha/polímero</v>
      </c>
      <c r="C144" s="77">
        <f t="shared" si="0"/>
        <v>197.96</v>
      </c>
      <c r="D144" s="77">
        <f t="shared" si="14"/>
        <v>0</v>
      </c>
      <c r="E144" s="88"/>
      <c r="F144" s="77">
        <f t="shared" si="15"/>
        <v>0</v>
      </c>
      <c r="G144" s="78">
        <f t="shared" si="16"/>
        <v>1</v>
      </c>
      <c r="H144" s="79">
        <f>VLOOKUP(A144,'Transporte - FU'!$A$3:$C$166,3,0)</f>
        <v>1</v>
      </c>
      <c r="I144" s="78">
        <f>VLOOKUP(A144,'Transporte - FU'!$A$3:$C$166,2,0)</f>
        <v>300170</v>
      </c>
      <c r="J144" s="80">
        <f>VLOOKUP(I144,CHP!$A$13:$D$215,3,0)</f>
        <v>848.08</v>
      </c>
      <c r="K144" s="78" t="s">
        <v>238</v>
      </c>
      <c r="L144" s="136"/>
      <c r="M144" s="81">
        <f t="shared" si="17"/>
        <v>0</v>
      </c>
    </row>
    <row r="145" spans="1:13" s="72" customFormat="1" ht="14.25" x14ac:dyDescent="0.2">
      <c r="A145" s="151">
        <v>309100</v>
      </c>
      <c r="B145" s="69" t="str">
        <f>VLOOKUP(A145, CHP!$A$13:D$215,2,0)</f>
        <v>Usina misturadora PMF 50/70 t/hora</v>
      </c>
      <c r="C145" s="77">
        <f t="shared" si="0"/>
        <v>197.96</v>
      </c>
      <c r="D145" s="77">
        <f t="shared" si="14"/>
        <v>0</v>
      </c>
      <c r="E145" s="88"/>
      <c r="F145" s="77">
        <f t="shared" si="15"/>
        <v>0</v>
      </c>
      <c r="G145" s="78">
        <f t="shared" si="16"/>
        <v>2</v>
      </c>
      <c r="H145" s="79">
        <f>VLOOKUP(A145,'Transporte - FU'!$A$3:$C$166,3,0)</f>
        <v>4</v>
      </c>
      <c r="I145" s="78" t="str">
        <f>VLOOKUP(A145,'Transporte - FU'!$A$3:$C$166,2,0)</f>
        <v>EQ001</v>
      </c>
      <c r="J145" s="80">
        <f>VLOOKUP(I145,CHP!$A$13:$D$215,3,0)</f>
        <v>434.55</v>
      </c>
      <c r="K145" s="78" t="s">
        <v>238</v>
      </c>
      <c r="L145" s="136"/>
      <c r="M145" s="81">
        <f t="shared" si="17"/>
        <v>0</v>
      </c>
    </row>
    <row r="146" spans="1:13" s="72" customFormat="1" ht="14.25" x14ac:dyDescent="0.2">
      <c r="A146" s="151">
        <v>309000</v>
      </c>
      <c r="B146" s="69" t="str">
        <f>VLOOKUP(A146, CHP!$A$13:D$215,2,0)</f>
        <v>Usina p/ microrevestimento asfáltico a frio</v>
      </c>
      <c r="C146" s="77">
        <f t="shared" si="0"/>
        <v>197.96</v>
      </c>
      <c r="D146" s="77">
        <f t="shared" si="14"/>
        <v>0</v>
      </c>
      <c r="E146" s="88"/>
      <c r="F146" s="77">
        <f t="shared" si="15"/>
        <v>0</v>
      </c>
      <c r="G146" s="78">
        <f t="shared" si="16"/>
        <v>2</v>
      </c>
      <c r="H146" s="79">
        <f>VLOOKUP(A146,'Transporte - FU'!$A$3:$C$166,3,0)</f>
        <v>1</v>
      </c>
      <c r="I146" s="78" t="str">
        <f>VLOOKUP(A146,'Transporte - FU'!$A$3:$C$166,2,0)</f>
        <v>EQ001</v>
      </c>
      <c r="J146" s="80">
        <f>VLOOKUP(I146,CHP!$A$13:$D$215,3,0)</f>
        <v>434.55</v>
      </c>
      <c r="K146" s="78" t="s">
        <v>238</v>
      </c>
      <c r="L146" s="136"/>
      <c r="M146" s="81">
        <f t="shared" si="17"/>
        <v>0</v>
      </c>
    </row>
    <row r="147" spans="1:13" s="72" customFormat="1" ht="14.25" x14ac:dyDescent="0.2">
      <c r="A147" s="151">
        <v>303500</v>
      </c>
      <c r="B147" s="69" t="str">
        <f>VLOOKUP(A147, CHP!$A$13:D$215,2,0)</f>
        <v>Usina solos brita graduada 200/500 t/hora</v>
      </c>
      <c r="C147" s="77">
        <f t="shared" si="0"/>
        <v>197.96</v>
      </c>
      <c r="D147" s="77">
        <f t="shared" si="14"/>
        <v>0</v>
      </c>
      <c r="E147" s="88"/>
      <c r="F147" s="77">
        <f t="shared" si="15"/>
        <v>0</v>
      </c>
      <c r="G147" s="78">
        <f t="shared" si="16"/>
        <v>2</v>
      </c>
      <c r="H147" s="79">
        <f>VLOOKUP(A147,'Transporte - FU'!$A$3:$C$166,3,0)</f>
        <v>2</v>
      </c>
      <c r="I147" s="78" t="str">
        <f>VLOOKUP(A147,'Transporte - FU'!$A$3:$C$166,2,0)</f>
        <v>EQ001</v>
      </c>
      <c r="J147" s="80">
        <f>VLOOKUP(I147,CHP!$A$13:$D$215,3,0)</f>
        <v>434.55</v>
      </c>
      <c r="K147" s="78" t="s">
        <v>238</v>
      </c>
      <c r="L147" s="136"/>
      <c r="M147" s="81">
        <f t="shared" si="17"/>
        <v>0</v>
      </c>
    </row>
    <row r="148" spans="1:13" s="72" customFormat="1" ht="14.25" x14ac:dyDescent="0.2">
      <c r="A148" s="151">
        <v>303600</v>
      </c>
      <c r="B148" s="69" t="str">
        <f>VLOOKUP(A148, CHP!$A$13:D$215,2,0)</f>
        <v>Usina solos c/ dosador cimento 200/500 t/hora</v>
      </c>
      <c r="C148" s="77">
        <f t="shared" si="0"/>
        <v>197.96</v>
      </c>
      <c r="D148" s="77">
        <f t="shared" si="14"/>
        <v>0</v>
      </c>
      <c r="E148" s="88"/>
      <c r="F148" s="77">
        <f t="shared" si="15"/>
        <v>0</v>
      </c>
      <c r="G148" s="78">
        <f t="shared" si="16"/>
        <v>2</v>
      </c>
      <c r="H148" s="79">
        <f>VLOOKUP(A148,'Transporte - FU'!$A$3:$C$166,3,0)</f>
        <v>2</v>
      </c>
      <c r="I148" s="78" t="str">
        <f>VLOOKUP(A148,'Transporte - FU'!$A$3:$C$166,2,0)</f>
        <v>EQ001</v>
      </c>
      <c r="J148" s="80">
        <f>VLOOKUP(I148,CHP!$A$13:$D$215,3,0)</f>
        <v>434.55</v>
      </c>
      <c r="K148" s="78" t="s">
        <v>238</v>
      </c>
      <c r="L148" s="136"/>
      <c r="M148" s="81">
        <f t="shared" si="17"/>
        <v>0</v>
      </c>
    </row>
    <row r="149" spans="1:13" s="72" customFormat="1" ht="14.25" x14ac:dyDescent="0.2">
      <c r="A149" s="151">
        <v>340410</v>
      </c>
      <c r="B149" s="69" t="str">
        <f>VLOOKUP(A149, CHP!$A$13:D$215,2,0)</f>
        <v>Vibro acabadora esteiras</v>
      </c>
      <c r="C149" s="77">
        <f t="shared" si="0"/>
        <v>197.96</v>
      </c>
      <c r="D149" s="77">
        <f t="shared" si="14"/>
        <v>0</v>
      </c>
      <c r="E149" s="88"/>
      <c r="F149" s="77">
        <f t="shared" si="15"/>
        <v>0</v>
      </c>
      <c r="G149" s="78">
        <f t="shared" si="16"/>
        <v>2</v>
      </c>
      <c r="H149" s="79">
        <f>VLOOKUP(A149,'Transporte - FU'!$A$3:$C$166,3,0)</f>
        <v>0.5</v>
      </c>
      <c r="I149" s="78" t="str">
        <f>VLOOKUP(A149,'Transporte - FU'!$A$3:$C$166,2,0)</f>
        <v>EQ001</v>
      </c>
      <c r="J149" s="80">
        <f>VLOOKUP(I149,CHP!$A$13:$D$215,3,0)</f>
        <v>434.55</v>
      </c>
      <c r="K149" s="78" t="s">
        <v>238</v>
      </c>
      <c r="L149" s="136"/>
      <c r="M149" s="81">
        <f t="shared" si="17"/>
        <v>0</v>
      </c>
    </row>
    <row r="150" spans="1:13" s="72" customFormat="1" ht="14.25" x14ac:dyDescent="0.2">
      <c r="A150" s="130">
        <v>370080</v>
      </c>
      <c r="B150" s="152" t="str">
        <f>VLOOKUP(A150, CHP!$A$13:D$215,2,0)</f>
        <v>Automóvel leve pot. mín. 75 HP(s/motor.)</v>
      </c>
      <c r="C150" s="131">
        <f t="shared" si="0"/>
        <v>197.96</v>
      </c>
      <c r="D150" s="131">
        <f t="shared" si="14"/>
        <v>0</v>
      </c>
      <c r="E150" s="153"/>
      <c r="F150" s="131">
        <v>0</v>
      </c>
      <c r="G150" s="132">
        <f t="shared" si="16"/>
        <v>1</v>
      </c>
      <c r="H150" s="133">
        <f>VLOOKUP(A150,'Transporte - FU'!$A$3:$C$166,3,0)</f>
        <v>1</v>
      </c>
      <c r="I150" s="132">
        <f>VLOOKUP(A150,'Transporte - FU'!$A$3:$C$166,2,0)</f>
        <v>370080</v>
      </c>
      <c r="J150" s="134">
        <f>VLOOKUP(I150,CHP!$A$13:$D$215,3,0)</f>
        <v>116.77</v>
      </c>
      <c r="K150" s="132" t="s">
        <v>238</v>
      </c>
      <c r="L150" s="137"/>
      <c r="M150" s="135">
        <f t="shared" si="17"/>
        <v>0</v>
      </c>
    </row>
    <row r="151" spans="1:13" s="72" customFormat="1" ht="14.25" x14ac:dyDescent="0.2">
      <c r="A151" s="130">
        <v>370140</v>
      </c>
      <c r="B151" s="152" t="str">
        <f>VLOOKUP(A151, CHP!$A$13:D$215,2,0)</f>
        <v>Caminhonete cabine dupla 4x4 pot. mín.120 HP(s/motor.)</v>
      </c>
      <c r="C151" s="131">
        <f t="shared" si="0"/>
        <v>197.96</v>
      </c>
      <c r="D151" s="131">
        <f t="shared" si="14"/>
        <v>0</v>
      </c>
      <c r="E151" s="153"/>
      <c r="F151" s="131">
        <f t="shared" si="15"/>
        <v>0</v>
      </c>
      <c r="G151" s="132">
        <f t="shared" si="16"/>
        <v>1</v>
      </c>
      <c r="H151" s="133">
        <f>VLOOKUP(A151,'Transporte - FU'!$A$3:$C$166,3,0)</f>
        <v>1</v>
      </c>
      <c r="I151" s="132">
        <f>VLOOKUP(A151,'Transporte - FU'!$A$3:$C$166,2,0)</f>
        <v>370140</v>
      </c>
      <c r="J151" s="134">
        <f>VLOOKUP(I151,CHP!$A$13:$D$215,3,0)</f>
        <v>138.53</v>
      </c>
      <c r="K151" s="132" t="s">
        <v>238</v>
      </c>
      <c r="L151" s="137"/>
      <c r="M151" s="135">
        <f t="shared" si="17"/>
        <v>0</v>
      </c>
    </row>
    <row r="152" spans="1:13" s="72" customFormat="1" ht="14.25" x14ac:dyDescent="0.2">
      <c r="A152" s="130">
        <v>370160</v>
      </c>
      <c r="B152" s="152" t="str">
        <f>VLOOKUP(A152, CHP!$A$13:D$215,2,0)</f>
        <v>Veículo utilitário pot. min. 114 HP(s/motor.)</v>
      </c>
      <c r="C152" s="131">
        <f t="shared" si="0"/>
        <v>197.96</v>
      </c>
      <c r="D152" s="131">
        <f t="shared" si="14"/>
        <v>0</v>
      </c>
      <c r="E152" s="153"/>
      <c r="F152" s="131">
        <f t="shared" si="15"/>
        <v>0</v>
      </c>
      <c r="G152" s="132">
        <f t="shared" si="16"/>
        <v>1</v>
      </c>
      <c r="H152" s="133">
        <f>VLOOKUP(A152,'Transporte - FU'!$A$3:$C$166,3,0)</f>
        <v>1</v>
      </c>
      <c r="I152" s="132">
        <f>VLOOKUP(A152,'Transporte - FU'!$A$3:$C$166,2,0)</f>
        <v>370160</v>
      </c>
      <c r="J152" s="134">
        <f>VLOOKUP(I152,CHP!$A$13:$D$215,3,0)</f>
        <v>190.95</v>
      </c>
      <c r="K152" s="132" t="s">
        <v>238</v>
      </c>
      <c r="L152" s="137"/>
      <c r="M152" s="135">
        <f t="shared" si="17"/>
        <v>0</v>
      </c>
    </row>
    <row r="153" spans="1:13" s="72" customFormat="1" ht="14.25" x14ac:dyDescent="0.2">
      <c r="A153" s="130">
        <v>370020</v>
      </c>
      <c r="B153" s="152" t="str">
        <f>VLOOKUP(A153, CHP!$A$13:D$215,2,0)</f>
        <v>Microônibus transporte urbano capacidade 16 pessoas</v>
      </c>
      <c r="C153" s="131">
        <f t="shared" si="0"/>
        <v>197.96</v>
      </c>
      <c r="D153" s="131">
        <f t="shared" si="14"/>
        <v>0</v>
      </c>
      <c r="E153" s="153"/>
      <c r="F153" s="131">
        <f t="shared" si="15"/>
        <v>0</v>
      </c>
      <c r="G153" s="132">
        <f t="shared" si="16"/>
        <v>1</v>
      </c>
      <c r="H153" s="133">
        <f>VLOOKUP(A153,'Transporte - FU'!$A$3:$C$166,3,0)</f>
        <v>1</v>
      </c>
      <c r="I153" s="132">
        <f>VLOOKUP(A153,'Transporte - FU'!$A$3:$C$166,2,0)</f>
        <v>370020</v>
      </c>
      <c r="J153" s="134">
        <f>VLOOKUP(I153,CHP!$A$13:$D$215,3,0)</f>
        <v>230.23</v>
      </c>
      <c r="K153" s="132" t="s">
        <v>238</v>
      </c>
      <c r="L153" s="137"/>
      <c r="M153" s="135">
        <f t="shared" si="17"/>
        <v>0</v>
      </c>
    </row>
    <row r="154" spans="1:13" s="72" customFormat="1" ht="14.25" x14ac:dyDescent="0.2">
      <c r="A154" s="130">
        <v>370030</v>
      </c>
      <c r="B154" s="152" t="str">
        <f>VLOOKUP(A154, CHP!$A$13:D$215,2,0)</f>
        <v>Microônibus transporte urbano capacidade 30 pessoas</v>
      </c>
      <c r="C154" s="131">
        <f t="shared" si="0"/>
        <v>197.96</v>
      </c>
      <c r="D154" s="131">
        <f t="shared" si="14"/>
        <v>0</v>
      </c>
      <c r="E154" s="153"/>
      <c r="F154" s="131">
        <f t="shared" si="15"/>
        <v>0</v>
      </c>
      <c r="G154" s="132">
        <f t="shared" si="16"/>
        <v>1</v>
      </c>
      <c r="H154" s="133">
        <f>VLOOKUP(A154,'Transporte - FU'!$A$3:$C$166,3,0)</f>
        <v>1</v>
      </c>
      <c r="I154" s="132">
        <f>VLOOKUP(A154,'Transporte - FU'!$A$3:$C$166,2,0)</f>
        <v>370030</v>
      </c>
      <c r="J154" s="134">
        <f>VLOOKUP(I154,CHP!$A$13:$D$215,3,0)</f>
        <v>233.31</v>
      </c>
      <c r="K154" s="132" t="s">
        <v>238</v>
      </c>
      <c r="L154" s="137"/>
      <c r="M154" s="135">
        <f t="shared" si="17"/>
        <v>0</v>
      </c>
    </row>
    <row r="155" spans="1:13" s="72" customFormat="1" ht="14.25" x14ac:dyDescent="0.2">
      <c r="A155" s="130">
        <v>370000</v>
      </c>
      <c r="B155" s="152" t="str">
        <f>VLOOKUP(A155, CHP!$A$13:D$215,2,0)</f>
        <v>Veiculo transporte coletivo 40 passageiros</v>
      </c>
      <c r="C155" s="131">
        <f t="shared" si="0"/>
        <v>197.96</v>
      </c>
      <c r="D155" s="131">
        <f t="shared" si="14"/>
        <v>0</v>
      </c>
      <c r="E155" s="153"/>
      <c r="F155" s="131">
        <f t="shared" si="15"/>
        <v>0</v>
      </c>
      <c r="G155" s="132">
        <f t="shared" si="16"/>
        <v>1</v>
      </c>
      <c r="H155" s="133">
        <f>VLOOKUP(A155,'Transporte - FU'!$A$3:$C$166,3,0)</f>
        <v>1</v>
      </c>
      <c r="I155" s="132">
        <f>VLOOKUP(A155,'Transporte - FU'!$A$3:$C$166,2,0)</f>
        <v>370000</v>
      </c>
      <c r="J155" s="134">
        <f>VLOOKUP(I155,CHP!$A$13:$D$215,3,0)</f>
        <v>395.05</v>
      </c>
      <c r="K155" s="132" t="s">
        <v>238</v>
      </c>
      <c r="L155" s="137"/>
      <c r="M155" s="135">
        <f t="shared" si="17"/>
        <v>0</v>
      </c>
    </row>
    <row r="156" spans="1:13" s="72" customFormat="1" ht="18" x14ac:dyDescent="0.25">
      <c r="A156" s="257" t="s">
        <v>239</v>
      </c>
      <c r="B156" s="258"/>
      <c r="C156" s="258"/>
      <c r="D156" s="258"/>
      <c r="E156" s="258"/>
      <c r="F156" s="258"/>
      <c r="G156" s="258"/>
      <c r="H156" s="258"/>
      <c r="I156" s="258"/>
      <c r="J156" s="259"/>
      <c r="K156" s="119"/>
      <c r="L156" s="119"/>
      <c r="M156" s="82">
        <f>SUM(M12:M155)</f>
        <v>0</v>
      </c>
    </row>
    <row r="157" spans="1:13" s="72" customFormat="1" ht="9.75" customHeight="1" x14ac:dyDescent="0.25">
      <c r="A157" s="262"/>
      <c r="B157" s="263"/>
      <c r="C157" s="263"/>
      <c r="D157" s="263"/>
      <c r="E157" s="263"/>
      <c r="F157" s="263"/>
      <c r="G157" s="263"/>
      <c r="H157" s="263"/>
      <c r="I157" s="263"/>
      <c r="J157" s="263"/>
      <c r="K157" s="263"/>
      <c r="L157" s="263"/>
      <c r="M157" s="264"/>
    </row>
    <row r="158" spans="1:13" s="72" customFormat="1" ht="25.5" customHeight="1" x14ac:dyDescent="0.25">
      <c r="A158" s="265" t="s">
        <v>240</v>
      </c>
      <c r="B158" s="266"/>
      <c r="C158" s="266"/>
      <c r="D158" s="266"/>
      <c r="E158" s="266"/>
      <c r="F158" s="266"/>
      <c r="G158" s="266"/>
      <c r="H158" s="266"/>
      <c r="I158" s="266"/>
      <c r="J158" s="267"/>
      <c r="K158" s="265"/>
      <c r="L158" s="267"/>
      <c r="M158" s="83">
        <f>M156*2</f>
        <v>0</v>
      </c>
    </row>
    <row r="159" spans="1:13" s="72" customFormat="1" ht="19.5" customHeight="1" x14ac:dyDescent="0.25">
      <c r="A159" s="252" t="s">
        <v>249</v>
      </c>
      <c r="B159" s="253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4"/>
    </row>
    <row r="160" spans="1:13" x14ac:dyDescent="0.25">
      <c r="L160" s="72" t="s">
        <v>446</v>
      </c>
      <c r="M160" s="129">
        <f>TRUNC(M158*1.2023,2)</f>
        <v>0</v>
      </c>
    </row>
  </sheetData>
  <mergeCells count="15">
    <mergeCell ref="A1:M1"/>
    <mergeCell ref="A2:M2"/>
    <mergeCell ref="A3:M3"/>
    <mergeCell ref="A159:M159"/>
    <mergeCell ref="A6:L6"/>
    <mergeCell ref="A7:L7"/>
    <mergeCell ref="A8:L8"/>
    <mergeCell ref="A9:L9"/>
    <mergeCell ref="A10:M10"/>
    <mergeCell ref="A156:J156"/>
    <mergeCell ref="K4:L4"/>
    <mergeCell ref="K5:L5"/>
    <mergeCell ref="A157:M157"/>
    <mergeCell ref="A158:J158"/>
    <mergeCell ref="K158:L158"/>
  </mergeCells>
  <printOptions horizontalCentered="1" verticalCentered="1"/>
  <pageMargins left="0" right="0" top="0" bottom="0" header="0" footer="0"/>
  <pageSetup paperSize="8" scale="33" orientation="landscape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0"/>
  <sheetViews>
    <sheetView workbookViewId="0">
      <selection activeCell="E11" sqref="E11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15" customWidth="1"/>
    <col min="8" max="8" width="18" customWidth="1"/>
  </cols>
  <sheetData>
    <row r="1" spans="1:7" x14ac:dyDescent="0.25">
      <c r="A1" s="246" t="s">
        <v>470</v>
      </c>
      <c r="B1" s="246"/>
    </row>
    <row r="2" spans="1:7" x14ac:dyDescent="0.25">
      <c r="D2" s="202" t="s">
        <v>387</v>
      </c>
      <c r="E2" s="203">
        <v>1518</v>
      </c>
      <c r="F2" s="204">
        <v>6.9</v>
      </c>
      <c r="G2" s="205" t="s">
        <v>257</v>
      </c>
    </row>
    <row r="3" spans="1:7" x14ac:dyDescent="0.25">
      <c r="D3" s="202" t="s">
        <v>388</v>
      </c>
      <c r="E3" s="190">
        <v>1.7747999999999999</v>
      </c>
      <c r="F3" s="205"/>
      <c r="G3" s="205"/>
    </row>
    <row r="4" spans="1:7" ht="30" x14ac:dyDescent="0.25">
      <c r="A4" s="90" t="s">
        <v>230</v>
      </c>
      <c r="B4" s="90" t="s">
        <v>231</v>
      </c>
      <c r="C4" s="91" t="s">
        <v>253</v>
      </c>
      <c r="D4" s="91" t="s">
        <v>254</v>
      </c>
      <c r="E4" s="91" t="s">
        <v>389</v>
      </c>
    </row>
    <row r="5" spans="1:7" x14ac:dyDescent="0.25">
      <c r="A5" s="270" t="s">
        <v>255</v>
      </c>
      <c r="B5" s="271"/>
      <c r="C5" s="271"/>
      <c r="D5" s="272"/>
      <c r="E5" s="149">
        <v>1.7747999999999999</v>
      </c>
    </row>
    <row r="6" spans="1:7" x14ac:dyDescent="0.25">
      <c r="A6" s="144">
        <v>200230</v>
      </c>
      <c r="B6" s="145" t="s">
        <v>259</v>
      </c>
      <c r="C6" s="95" t="s">
        <v>257</v>
      </c>
      <c r="D6" s="93"/>
      <c r="E6" s="146">
        <v>38.67</v>
      </c>
    </row>
    <row r="7" spans="1:7" x14ac:dyDescent="0.25">
      <c r="A7" s="144">
        <v>210040</v>
      </c>
      <c r="B7" s="145" t="s">
        <v>260</v>
      </c>
      <c r="C7" s="95" t="s">
        <v>257</v>
      </c>
      <c r="D7" s="93"/>
      <c r="E7" s="146">
        <v>31.97</v>
      </c>
    </row>
    <row r="8" spans="1:7" x14ac:dyDescent="0.25">
      <c r="A8" s="144">
        <v>200110</v>
      </c>
      <c r="B8" s="145" t="s">
        <v>261</v>
      </c>
      <c r="C8" s="95" t="s">
        <v>257</v>
      </c>
      <c r="D8" s="93"/>
      <c r="E8" s="146">
        <v>31.97</v>
      </c>
    </row>
    <row r="9" spans="1:7" x14ac:dyDescent="0.25">
      <c r="A9" s="144">
        <v>200210</v>
      </c>
      <c r="B9" s="145" t="s">
        <v>262</v>
      </c>
      <c r="C9" s="95" t="s">
        <v>257</v>
      </c>
      <c r="D9" s="93"/>
      <c r="E9" s="146">
        <v>29.1</v>
      </c>
    </row>
    <row r="10" spans="1:7" x14ac:dyDescent="0.25">
      <c r="A10" s="144">
        <v>200240</v>
      </c>
      <c r="B10" s="145" t="s">
        <v>263</v>
      </c>
      <c r="C10" s="95" t="s">
        <v>257</v>
      </c>
      <c r="D10" s="93"/>
      <c r="E10" s="146">
        <v>38.67</v>
      </c>
    </row>
    <row r="11" spans="1:7" x14ac:dyDescent="0.25">
      <c r="A11" s="144">
        <v>200311</v>
      </c>
      <c r="B11" s="145" t="s">
        <v>396</v>
      </c>
      <c r="C11" s="95" t="s">
        <v>257</v>
      </c>
      <c r="D11" s="93"/>
      <c r="E11" s="146">
        <v>31.97</v>
      </c>
    </row>
    <row r="12" spans="1:7" x14ac:dyDescent="0.25">
      <c r="A12" s="144">
        <v>210150</v>
      </c>
      <c r="B12" s="145" t="s">
        <v>264</v>
      </c>
      <c r="C12" s="95" t="s">
        <v>257</v>
      </c>
      <c r="D12" s="93"/>
      <c r="E12" s="146">
        <v>38.67</v>
      </c>
    </row>
    <row r="13" spans="1:7" x14ac:dyDescent="0.25">
      <c r="A13" s="144">
        <v>200150</v>
      </c>
      <c r="B13" s="145" t="s">
        <v>265</v>
      </c>
      <c r="C13" s="95" t="s">
        <v>257</v>
      </c>
      <c r="D13" s="93"/>
      <c r="E13" s="146">
        <v>67.010000000000005</v>
      </c>
      <c r="G13" s="175" t="s">
        <v>455</v>
      </c>
    </row>
    <row r="14" spans="1:7" x14ac:dyDescent="0.25">
      <c r="A14" s="144">
        <v>200100</v>
      </c>
      <c r="B14" s="145" t="s">
        <v>266</v>
      </c>
      <c r="C14" s="95" t="s">
        <v>257</v>
      </c>
      <c r="D14" s="93"/>
      <c r="E14" s="146">
        <v>100.51</v>
      </c>
      <c r="G14" s="175" t="s">
        <v>456</v>
      </c>
    </row>
    <row r="15" spans="1:7" x14ac:dyDescent="0.25">
      <c r="A15" s="144">
        <v>200000</v>
      </c>
      <c r="B15" s="145" t="s">
        <v>267</v>
      </c>
      <c r="C15" s="95" t="s">
        <v>257</v>
      </c>
      <c r="D15" s="93"/>
      <c r="E15" s="147">
        <v>152.02000000000001</v>
      </c>
      <c r="G15" s="176" t="s">
        <v>457</v>
      </c>
    </row>
    <row r="16" spans="1:7" x14ac:dyDescent="0.25">
      <c r="A16" s="144">
        <v>200070</v>
      </c>
      <c r="B16" s="145" t="s">
        <v>268</v>
      </c>
      <c r="C16" s="95" t="s">
        <v>257</v>
      </c>
      <c r="D16" s="93"/>
      <c r="E16" s="146">
        <v>95.34</v>
      </c>
      <c r="G16" s="176" t="s">
        <v>458</v>
      </c>
    </row>
    <row r="17" spans="1:7" x14ac:dyDescent="0.25">
      <c r="A17" s="144">
        <v>200080</v>
      </c>
      <c r="B17" s="145" t="s">
        <v>269</v>
      </c>
      <c r="C17" s="95" t="s">
        <v>257</v>
      </c>
      <c r="D17" s="93"/>
      <c r="E17" s="146">
        <v>95.34</v>
      </c>
      <c r="G17" s="176" t="s">
        <v>458</v>
      </c>
    </row>
    <row r="18" spans="1:7" x14ac:dyDescent="0.25">
      <c r="A18" s="144">
        <v>200090</v>
      </c>
      <c r="B18" s="145" t="s">
        <v>270</v>
      </c>
      <c r="C18" s="95" t="s">
        <v>257</v>
      </c>
      <c r="D18" s="93"/>
      <c r="E18" s="146">
        <v>95.34</v>
      </c>
      <c r="G18" s="176" t="s">
        <v>458</v>
      </c>
    </row>
    <row r="19" spans="1:7" x14ac:dyDescent="0.25">
      <c r="A19" s="144">
        <v>200200</v>
      </c>
      <c r="B19" s="145" t="s">
        <v>271</v>
      </c>
      <c r="C19" s="95" t="s">
        <v>257</v>
      </c>
      <c r="D19" s="93"/>
      <c r="E19" s="146">
        <v>31.97</v>
      </c>
    </row>
    <row r="20" spans="1:7" x14ac:dyDescent="0.25">
      <c r="A20" s="144">
        <v>200060</v>
      </c>
      <c r="B20" s="145" t="s">
        <v>272</v>
      </c>
      <c r="C20" s="95" t="s">
        <v>257</v>
      </c>
      <c r="D20" s="93"/>
      <c r="E20" s="146">
        <v>29.1</v>
      </c>
    </row>
    <row r="21" spans="1:7" x14ac:dyDescent="0.25">
      <c r="A21" s="144">
        <v>200290</v>
      </c>
      <c r="B21" s="145" t="s">
        <v>273</v>
      </c>
      <c r="C21" s="95" t="s">
        <v>257</v>
      </c>
      <c r="D21" s="93"/>
      <c r="E21" s="146">
        <v>31.97</v>
      </c>
    </row>
    <row r="22" spans="1:7" x14ac:dyDescent="0.25">
      <c r="A22" s="144">
        <v>200170</v>
      </c>
      <c r="B22" s="145" t="s">
        <v>274</v>
      </c>
      <c r="C22" s="95" t="s">
        <v>257</v>
      </c>
      <c r="D22" s="93"/>
      <c r="E22" s="146">
        <v>38.67</v>
      </c>
    </row>
    <row r="23" spans="1:7" x14ac:dyDescent="0.25">
      <c r="A23" s="144">
        <v>200140</v>
      </c>
      <c r="B23" s="145" t="s">
        <v>275</v>
      </c>
      <c r="C23" s="95" t="s">
        <v>257</v>
      </c>
      <c r="D23" s="93"/>
      <c r="E23" s="146">
        <v>29.1</v>
      </c>
    </row>
    <row r="24" spans="1:7" x14ac:dyDescent="0.25">
      <c r="A24" s="144">
        <v>200180</v>
      </c>
      <c r="B24" s="145" t="s">
        <v>276</v>
      </c>
      <c r="C24" s="95" t="s">
        <v>257</v>
      </c>
      <c r="D24" s="93"/>
      <c r="E24" s="146">
        <v>31.97</v>
      </c>
    </row>
    <row r="25" spans="1:7" x14ac:dyDescent="0.25">
      <c r="A25" s="144">
        <v>210020</v>
      </c>
      <c r="B25" s="145" t="s">
        <v>277</v>
      </c>
      <c r="C25" s="95" t="s">
        <v>257</v>
      </c>
      <c r="D25" s="93"/>
      <c r="E25" s="146">
        <v>38.67</v>
      </c>
    </row>
    <row r="26" spans="1:7" x14ac:dyDescent="0.25">
      <c r="A26" s="144">
        <v>200120</v>
      </c>
      <c r="B26" s="145" t="s">
        <v>278</v>
      </c>
      <c r="C26" s="95" t="s">
        <v>257</v>
      </c>
      <c r="D26" s="93"/>
      <c r="E26" s="146">
        <v>31.97</v>
      </c>
    </row>
    <row r="27" spans="1:7" x14ac:dyDescent="0.25">
      <c r="A27" s="144">
        <v>210050</v>
      </c>
      <c r="B27" s="145" t="s">
        <v>279</v>
      </c>
      <c r="C27" s="95" t="s">
        <v>257</v>
      </c>
      <c r="D27" s="93"/>
      <c r="E27" s="146">
        <v>38.67</v>
      </c>
    </row>
    <row r="28" spans="1:7" x14ac:dyDescent="0.25">
      <c r="A28" s="144">
        <v>200160</v>
      </c>
      <c r="B28" s="145" t="s">
        <v>280</v>
      </c>
      <c r="C28" s="95" t="s">
        <v>257</v>
      </c>
      <c r="D28" s="93"/>
      <c r="E28" s="146">
        <v>29.1</v>
      </c>
    </row>
    <row r="29" spans="1:7" x14ac:dyDescent="0.25">
      <c r="A29" s="144">
        <v>200260</v>
      </c>
      <c r="B29" s="145" t="s">
        <v>281</v>
      </c>
      <c r="C29" s="95" t="s">
        <v>257</v>
      </c>
      <c r="D29" s="93"/>
      <c r="E29" s="146">
        <v>38.67</v>
      </c>
    </row>
    <row r="30" spans="1:7" x14ac:dyDescent="0.25">
      <c r="A30" s="144">
        <v>200270</v>
      </c>
      <c r="B30" s="145" t="s">
        <v>282</v>
      </c>
      <c r="C30" s="95" t="s">
        <v>257</v>
      </c>
      <c r="D30" s="93"/>
      <c r="E30" s="146">
        <v>38.67</v>
      </c>
    </row>
    <row r="31" spans="1:7" x14ac:dyDescent="0.25">
      <c r="A31" s="144">
        <v>210070</v>
      </c>
      <c r="B31" s="145" t="s">
        <v>283</v>
      </c>
      <c r="C31" s="95" t="s">
        <v>257</v>
      </c>
      <c r="D31" s="93"/>
      <c r="E31" s="146">
        <v>38.67</v>
      </c>
    </row>
    <row r="32" spans="1:7" x14ac:dyDescent="0.25">
      <c r="A32" s="144">
        <v>210090</v>
      </c>
      <c r="B32" s="145" t="s">
        <v>284</v>
      </c>
      <c r="C32" s="95" t="s">
        <v>257</v>
      </c>
      <c r="D32" s="93"/>
      <c r="E32" s="146">
        <v>38.67</v>
      </c>
    </row>
    <row r="33" spans="1:5" x14ac:dyDescent="0.25">
      <c r="A33" s="144">
        <v>200130</v>
      </c>
      <c r="B33" s="145" t="s">
        <v>285</v>
      </c>
      <c r="C33" s="95" t="s">
        <v>257</v>
      </c>
      <c r="D33" s="93"/>
      <c r="E33" s="146">
        <v>28.33</v>
      </c>
    </row>
    <row r="34" spans="1:5" x14ac:dyDescent="0.25">
      <c r="A34" s="144">
        <v>200280</v>
      </c>
      <c r="B34" s="145" t="s">
        <v>286</v>
      </c>
      <c r="C34" s="95" t="s">
        <v>257</v>
      </c>
      <c r="D34" s="93"/>
      <c r="E34" s="146">
        <v>38.67</v>
      </c>
    </row>
    <row r="35" spans="1:5" x14ac:dyDescent="0.25">
      <c r="A35" s="144">
        <v>210060</v>
      </c>
      <c r="B35" s="145" t="s">
        <v>398</v>
      </c>
      <c r="C35" s="95" t="s">
        <v>257</v>
      </c>
      <c r="D35" s="93"/>
      <c r="E35" s="146">
        <v>50.16</v>
      </c>
    </row>
    <row r="36" spans="1:5" x14ac:dyDescent="0.25">
      <c r="A36" s="144">
        <v>200250</v>
      </c>
      <c r="B36" s="145" t="s">
        <v>399</v>
      </c>
      <c r="C36" s="95" t="s">
        <v>257</v>
      </c>
      <c r="D36" s="93"/>
      <c r="E36" s="146">
        <v>45.37</v>
      </c>
    </row>
    <row r="37" spans="1:5" x14ac:dyDescent="0.25">
      <c r="A37" s="144">
        <v>210080</v>
      </c>
      <c r="B37" s="145" t="s">
        <v>287</v>
      </c>
      <c r="C37" s="96" t="s">
        <v>257</v>
      </c>
      <c r="D37" s="93"/>
      <c r="E37" s="146">
        <v>43.84</v>
      </c>
    </row>
    <row r="38" spans="1:5" x14ac:dyDescent="0.25">
      <c r="A38" s="268" t="s">
        <v>288</v>
      </c>
      <c r="B38" s="269"/>
      <c r="C38" s="269"/>
      <c r="D38" s="269"/>
      <c r="E38" s="150">
        <v>1.1903999999999999</v>
      </c>
    </row>
    <row r="39" spans="1:5" x14ac:dyDescent="0.25">
      <c r="A39" s="97" t="s">
        <v>289</v>
      </c>
      <c r="B39" s="92" t="s">
        <v>290</v>
      </c>
      <c r="C39" s="93" t="s">
        <v>291</v>
      </c>
      <c r="D39" s="93"/>
      <c r="E39" s="148">
        <f>TRUNC((15.3*$E$2)*2.1904,2)</f>
        <v>50872.91</v>
      </c>
    </row>
    <row r="40" spans="1:5" x14ac:dyDescent="0.25">
      <c r="A40" s="98" t="s">
        <v>292</v>
      </c>
      <c r="B40" s="69" t="s">
        <v>293</v>
      </c>
      <c r="C40" s="95" t="s">
        <v>291</v>
      </c>
      <c r="D40" s="93"/>
      <c r="E40" s="148">
        <f>TRUNC((11.1*$E$2)*2.1904,2)</f>
        <v>36907.800000000003</v>
      </c>
    </row>
    <row r="41" spans="1:5" x14ac:dyDescent="0.25">
      <c r="A41" s="98" t="s">
        <v>294</v>
      </c>
      <c r="B41" s="69" t="s">
        <v>397</v>
      </c>
      <c r="C41" s="95" t="s">
        <v>291</v>
      </c>
      <c r="D41" s="93"/>
      <c r="E41" s="148">
        <f>TRUNC((8.5*$E$2)*2.1904,2)</f>
        <v>28262.73</v>
      </c>
    </row>
    <row r="42" spans="1:5" x14ac:dyDescent="0.25">
      <c r="A42" s="98" t="s">
        <v>295</v>
      </c>
      <c r="B42" s="69" t="s">
        <v>296</v>
      </c>
      <c r="C42" s="95" t="s">
        <v>291</v>
      </c>
      <c r="D42" s="93"/>
      <c r="E42" s="148">
        <f>TRUNC((2.6*$E$2)*2.1904,2)</f>
        <v>8645.07</v>
      </c>
    </row>
    <row r="43" spans="1:5" x14ac:dyDescent="0.25">
      <c r="A43" s="98" t="s">
        <v>297</v>
      </c>
      <c r="B43" s="69" t="s">
        <v>298</v>
      </c>
      <c r="C43" s="95" t="s">
        <v>291</v>
      </c>
      <c r="D43" s="93"/>
      <c r="E43" s="148">
        <f>TRUNC((2.6*$E$2)*2.1904,2)</f>
        <v>8645.07</v>
      </c>
    </row>
    <row r="44" spans="1:5" x14ac:dyDescent="0.25">
      <c r="A44" s="98" t="s">
        <v>299</v>
      </c>
      <c r="B44" s="69" t="s">
        <v>442</v>
      </c>
      <c r="C44" s="95" t="s">
        <v>291</v>
      </c>
      <c r="D44" s="93"/>
      <c r="E44" s="148">
        <f>TRUNC((8.5*$E$2)*2.1904,2)</f>
        <v>28262.73</v>
      </c>
    </row>
    <row r="45" spans="1:5" x14ac:dyDescent="0.25">
      <c r="A45" s="98" t="s">
        <v>300</v>
      </c>
      <c r="B45" s="69" t="s">
        <v>301</v>
      </c>
      <c r="C45" s="95" t="s">
        <v>291</v>
      </c>
      <c r="D45" s="93"/>
      <c r="E45" s="148">
        <f>TRUNC((3.4*$E$2)*2.1904,2)</f>
        <v>11305.09</v>
      </c>
    </row>
    <row r="46" spans="1:5" x14ac:dyDescent="0.25">
      <c r="A46" s="98" t="s">
        <v>302</v>
      </c>
      <c r="B46" s="69" t="s">
        <v>303</v>
      </c>
      <c r="C46" s="95" t="s">
        <v>291</v>
      </c>
      <c r="D46" s="93"/>
      <c r="E46" s="148">
        <f>TRUNC((9.4*$E$2)*2.1904,2)</f>
        <v>31255.25</v>
      </c>
    </row>
    <row r="47" spans="1:5" x14ac:dyDescent="0.25">
      <c r="A47" s="98" t="s">
        <v>304</v>
      </c>
      <c r="B47" s="69" t="s">
        <v>305</v>
      </c>
      <c r="C47" s="95" t="s">
        <v>291</v>
      </c>
      <c r="D47" s="93"/>
      <c r="E47" s="148">
        <f>TRUNC((8.5*$E$2)*2.1904,2)</f>
        <v>28262.73</v>
      </c>
    </row>
    <row r="48" spans="1:5" x14ac:dyDescent="0.25">
      <c r="A48" s="98" t="s">
        <v>306</v>
      </c>
      <c r="B48" s="69" t="s">
        <v>307</v>
      </c>
      <c r="C48" s="95" t="s">
        <v>291</v>
      </c>
      <c r="D48" s="93"/>
      <c r="E48" s="148">
        <f>TRUNC((2.6*$E$2)*2.1904,2)</f>
        <v>8645.07</v>
      </c>
    </row>
    <row r="49" spans="1:5" x14ac:dyDescent="0.25">
      <c r="A49" s="98" t="s">
        <v>308</v>
      </c>
      <c r="B49" s="69" t="s">
        <v>287</v>
      </c>
      <c r="C49" s="95" t="s">
        <v>291</v>
      </c>
      <c r="D49" s="93"/>
      <c r="E49" s="148">
        <f>TRUNC((2.6*$E$2)*2.1904,2)</f>
        <v>8645.07</v>
      </c>
    </row>
    <row r="50" spans="1:5" x14ac:dyDescent="0.25">
      <c r="A50" s="98" t="s">
        <v>309</v>
      </c>
      <c r="B50" s="69" t="s">
        <v>310</v>
      </c>
      <c r="C50" s="95" t="s">
        <v>291</v>
      </c>
      <c r="D50" s="93"/>
      <c r="E50" s="148">
        <f>TRUNC((1.79*$E$2)*2.1904,2)</f>
        <v>5951.79</v>
      </c>
    </row>
    <row r="51" spans="1:5" x14ac:dyDescent="0.25">
      <c r="A51" s="98" t="s">
        <v>311</v>
      </c>
      <c r="B51" s="69" t="s">
        <v>312</v>
      </c>
      <c r="C51" s="95" t="s">
        <v>291</v>
      </c>
      <c r="D51" s="93"/>
      <c r="E51" s="148">
        <f>TRUNC((2.6*$E$2)*2.1904,2)</f>
        <v>8645.07</v>
      </c>
    </row>
    <row r="52" spans="1:5" x14ac:dyDescent="0.25">
      <c r="A52" s="98" t="s">
        <v>313</v>
      </c>
      <c r="B52" s="69" t="s">
        <v>314</v>
      </c>
      <c r="C52" s="95" t="s">
        <v>291</v>
      </c>
      <c r="D52" s="93"/>
      <c r="E52" s="148">
        <f>TRUNC((1.8*$E$2)*2.1904,2)</f>
        <v>5985.04</v>
      </c>
    </row>
    <row r="53" spans="1:5" x14ac:dyDescent="0.25">
      <c r="A53" s="98" t="s">
        <v>315</v>
      </c>
      <c r="B53" s="69" t="s">
        <v>316</v>
      </c>
      <c r="C53" s="95" t="s">
        <v>291</v>
      </c>
      <c r="D53" s="93"/>
      <c r="E53" s="148">
        <f>TRUNC((5.1*$E$2)*2.1904,2)</f>
        <v>16957.63</v>
      </c>
    </row>
    <row r="54" spans="1:5" x14ac:dyDescent="0.25">
      <c r="A54" s="98" t="s">
        <v>317</v>
      </c>
      <c r="B54" s="69" t="s">
        <v>318</v>
      </c>
      <c r="C54" s="95" t="s">
        <v>291</v>
      </c>
      <c r="D54" s="93"/>
      <c r="E54" s="148">
        <f>TRUNC((3.4*$E$2)*2.1904,2)</f>
        <v>11305.09</v>
      </c>
    </row>
    <row r="55" spans="1:5" x14ac:dyDescent="0.25">
      <c r="A55" s="98" t="s">
        <v>319</v>
      </c>
      <c r="B55" s="69" t="s">
        <v>256</v>
      </c>
      <c r="C55" s="95" t="s">
        <v>291</v>
      </c>
      <c r="D55" s="93"/>
      <c r="E55" s="148">
        <f>TRUNC((1.7*$E$2)*2.1904,2)</f>
        <v>5652.54</v>
      </c>
    </row>
    <row r="56" spans="1:5" x14ac:dyDescent="0.25">
      <c r="A56" s="98" t="s">
        <v>320</v>
      </c>
      <c r="B56" s="69" t="s">
        <v>321</v>
      </c>
      <c r="C56" s="95" t="s">
        <v>291</v>
      </c>
      <c r="D56" s="93"/>
      <c r="E56" s="148">
        <f>TRUNC((1.7*$E$2)*2.1904,2)</f>
        <v>5652.54</v>
      </c>
    </row>
    <row r="57" spans="1:5" x14ac:dyDescent="0.25">
      <c r="A57" s="98" t="s">
        <v>322</v>
      </c>
      <c r="B57" s="69" t="s">
        <v>323</v>
      </c>
      <c r="C57" s="95" t="s">
        <v>291</v>
      </c>
      <c r="D57" s="93"/>
      <c r="E57" s="148">
        <f>TRUNC((4.3*$E$2)*2.1904,2)</f>
        <v>14297.61</v>
      </c>
    </row>
    <row r="58" spans="1:5" x14ac:dyDescent="0.25">
      <c r="A58" s="98" t="s">
        <v>324</v>
      </c>
      <c r="B58" s="69" t="s">
        <v>325</v>
      </c>
      <c r="C58" s="95" t="s">
        <v>291</v>
      </c>
      <c r="D58" s="93"/>
      <c r="E58" s="148">
        <f>TRUNC((2.6*$E$2)*2.1904,2)</f>
        <v>8645.07</v>
      </c>
    </row>
    <row r="59" spans="1:5" x14ac:dyDescent="0.25">
      <c r="A59" s="98" t="s">
        <v>326</v>
      </c>
      <c r="B59" s="69" t="s">
        <v>327</v>
      </c>
      <c r="C59" s="95" t="s">
        <v>291</v>
      </c>
      <c r="D59" s="93"/>
      <c r="E59" s="148">
        <f t="shared" ref="E59:E64" si="0">TRUNC((1.7*$E$2)*2.1904,2)</f>
        <v>5652.54</v>
      </c>
    </row>
    <row r="60" spans="1:5" x14ac:dyDescent="0.25">
      <c r="A60" s="98" t="s">
        <v>328</v>
      </c>
      <c r="B60" s="69" t="s">
        <v>329</v>
      </c>
      <c r="C60" s="95" t="s">
        <v>291</v>
      </c>
      <c r="D60" s="93"/>
      <c r="E60" s="148">
        <f t="shared" si="0"/>
        <v>5652.54</v>
      </c>
    </row>
    <row r="61" spans="1:5" x14ac:dyDescent="0.25">
      <c r="A61" s="98" t="s">
        <v>330</v>
      </c>
      <c r="B61" s="69" t="s">
        <v>331</v>
      </c>
      <c r="C61" s="95" t="s">
        <v>291</v>
      </c>
      <c r="D61" s="93"/>
      <c r="E61" s="148">
        <f t="shared" si="0"/>
        <v>5652.54</v>
      </c>
    </row>
    <row r="62" spans="1:5" x14ac:dyDescent="0.25">
      <c r="A62" s="98" t="s">
        <v>332</v>
      </c>
      <c r="B62" s="69" t="s">
        <v>333</v>
      </c>
      <c r="C62" s="95" t="s">
        <v>291</v>
      </c>
      <c r="D62" s="93"/>
      <c r="E62" s="148">
        <f t="shared" si="0"/>
        <v>5652.54</v>
      </c>
    </row>
    <row r="63" spans="1:5" x14ac:dyDescent="0.25">
      <c r="A63" s="98" t="s">
        <v>334</v>
      </c>
      <c r="B63" s="69" t="s">
        <v>335</v>
      </c>
      <c r="C63" s="95" t="s">
        <v>291</v>
      </c>
      <c r="D63" s="93"/>
      <c r="E63" s="148">
        <f t="shared" si="0"/>
        <v>5652.54</v>
      </c>
    </row>
    <row r="64" spans="1:5" x14ac:dyDescent="0.25">
      <c r="A64" s="98" t="s">
        <v>443</v>
      </c>
      <c r="B64" s="69" t="s">
        <v>285</v>
      </c>
      <c r="C64" s="95" t="s">
        <v>291</v>
      </c>
      <c r="D64" s="93"/>
      <c r="E64" s="148">
        <f t="shared" si="0"/>
        <v>5652.54</v>
      </c>
    </row>
    <row r="65" spans="1:5" x14ac:dyDescent="0.25">
      <c r="A65" s="98" t="s">
        <v>444</v>
      </c>
      <c r="B65" s="69" t="s">
        <v>264</v>
      </c>
      <c r="C65" s="95" t="s">
        <v>291</v>
      </c>
      <c r="D65" s="93"/>
      <c r="E65" s="148">
        <f>TRUNC((2.6*$E$2)*2.1904,2)</f>
        <v>8645.07</v>
      </c>
    </row>
    <row r="66" spans="1:5" x14ac:dyDescent="0.25">
      <c r="A66" s="98" t="s">
        <v>445</v>
      </c>
      <c r="B66" s="69" t="s">
        <v>263</v>
      </c>
      <c r="C66" s="95" t="s">
        <v>291</v>
      </c>
      <c r="D66" s="93"/>
      <c r="E66" s="148">
        <f>TRUNC((2.6*$E$2)*2.1904,2)</f>
        <v>8645.07</v>
      </c>
    </row>
    <row r="68" spans="1:5" x14ac:dyDescent="0.25">
      <c r="B68" s="99" t="s">
        <v>254</v>
      </c>
    </row>
    <row r="69" spans="1:5" x14ac:dyDescent="0.25">
      <c r="B69" s="100" t="s">
        <v>336</v>
      </c>
    </row>
    <row r="70" spans="1:5" x14ac:dyDescent="0.25">
      <c r="B70" s="100" t="s">
        <v>258</v>
      </c>
    </row>
    <row r="72" spans="1:5" x14ac:dyDescent="0.25">
      <c r="B72" s="99" t="s">
        <v>337</v>
      </c>
      <c r="C72" s="99" t="s">
        <v>338</v>
      </c>
    </row>
    <row r="73" spans="1:5" x14ac:dyDescent="0.25">
      <c r="A73" s="1" t="s">
        <v>339</v>
      </c>
      <c r="B73" s="100" t="s">
        <v>340</v>
      </c>
      <c r="C73" s="101">
        <v>0</v>
      </c>
    </row>
    <row r="74" spans="1:5" x14ac:dyDescent="0.25">
      <c r="A74" s="1" t="s">
        <v>339</v>
      </c>
      <c r="B74" s="100" t="s">
        <v>341</v>
      </c>
      <c r="C74" s="101">
        <v>0</v>
      </c>
    </row>
    <row r="75" spans="1:5" x14ac:dyDescent="0.25">
      <c r="A75" s="1" t="s">
        <v>339</v>
      </c>
      <c r="B75" s="100" t="s">
        <v>342</v>
      </c>
      <c r="C75" s="101">
        <v>0</v>
      </c>
    </row>
    <row r="76" spans="1:5" x14ac:dyDescent="0.25">
      <c r="A76" s="1" t="s">
        <v>339</v>
      </c>
      <c r="B76" s="100" t="s">
        <v>343</v>
      </c>
      <c r="C76" s="101">
        <v>0</v>
      </c>
    </row>
    <row r="77" spans="1:5" x14ac:dyDescent="0.25">
      <c r="A77" s="1" t="s">
        <v>344</v>
      </c>
      <c r="B77" s="100" t="s">
        <v>345</v>
      </c>
      <c r="C77" s="102"/>
    </row>
    <row r="78" spans="1:5" x14ac:dyDescent="0.25">
      <c r="A78" s="1" t="s">
        <v>344</v>
      </c>
      <c r="B78" s="100" t="s">
        <v>346</v>
      </c>
      <c r="C78" s="102"/>
    </row>
    <row r="79" spans="1:5" x14ac:dyDescent="0.25">
      <c r="A79" s="1" t="s">
        <v>344</v>
      </c>
      <c r="B79" s="100" t="s">
        <v>347</v>
      </c>
      <c r="C79" s="102"/>
    </row>
    <row r="80" spans="1:5" x14ac:dyDescent="0.25">
      <c r="A80" s="1" t="s">
        <v>344</v>
      </c>
      <c r="B80" s="100" t="s">
        <v>348</v>
      </c>
      <c r="C80" s="102"/>
    </row>
  </sheetData>
  <mergeCells count="3">
    <mergeCell ref="A1:B1"/>
    <mergeCell ref="A38:D38"/>
    <mergeCell ref="A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MJ86"/>
  <sheetViews>
    <sheetView showGridLines="0" tabSelected="1" zoomScale="90" zoomScaleNormal="90" workbookViewId="0">
      <pane xSplit="5" ySplit="9" topLeftCell="F34" activePane="bottomRight" state="frozen"/>
      <selection pane="topRight" activeCell="F1" sqref="F1"/>
      <selection pane="bottomLeft" activeCell="A10" sqref="A10"/>
      <selection pane="bottomRight" activeCell="G49" sqref="G49"/>
    </sheetView>
  </sheetViews>
  <sheetFormatPr defaultColWidth="9.140625" defaultRowHeight="15" x14ac:dyDescent="0.25"/>
  <cols>
    <col min="1" max="1" width="10.28515625" style="72" customWidth="1"/>
    <col min="2" max="2" width="40" style="72" customWidth="1"/>
    <col min="3" max="3" width="10.5703125" style="72" bestFit="1" customWidth="1"/>
    <col min="4" max="4" width="12.7109375" style="72" customWidth="1"/>
    <col min="5" max="5" width="15.42578125" style="72" customWidth="1"/>
    <col min="6" max="6" width="16.28515625" style="72" customWidth="1"/>
    <col min="7" max="7" width="15.85546875" style="72" customWidth="1"/>
    <col min="8" max="8" width="13.28515625" style="72" bestFit="1" customWidth="1"/>
    <col min="9" max="9" width="15.85546875" style="72" bestFit="1" customWidth="1"/>
    <col min="10" max="10" width="16" style="72" bestFit="1" customWidth="1"/>
    <col min="11" max="11" width="17.42578125" style="72" customWidth="1"/>
    <col min="12" max="12" width="15.7109375" style="72" bestFit="1" customWidth="1"/>
    <col min="13" max="13" width="15.28515625" style="72" customWidth="1"/>
    <col min="14" max="14" width="20.140625" style="72" customWidth="1"/>
    <col min="15" max="1024" width="9.140625" style="72"/>
    <col min="1025" max="16384" width="9.140625" style="84"/>
  </cols>
  <sheetData>
    <row r="1" spans="1:14" ht="27.75" x14ac:dyDescent="0.25">
      <c r="A1" s="274" t="s">
        <v>400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6"/>
      <c r="N1" s="73"/>
    </row>
    <row r="2" spans="1:14" ht="23.25" x14ac:dyDescent="0.25">
      <c r="A2" s="248" t="s">
        <v>224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1:14" s="72" customFormat="1" ht="15" customHeight="1" x14ac:dyDescent="0.25">
      <c r="A3" s="249" t="s">
        <v>471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1"/>
    </row>
    <row r="4" spans="1:14" x14ac:dyDescent="0.25">
      <c r="A4" s="255" t="s">
        <v>227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138">
        <v>1</v>
      </c>
      <c r="M4" s="72" t="s">
        <v>246</v>
      </c>
    </row>
    <row r="5" spans="1:14" x14ac:dyDescent="0.25">
      <c r="A5" s="255" t="s">
        <v>228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74">
        <v>182.49</v>
      </c>
    </row>
    <row r="6" spans="1:14" x14ac:dyDescent="0.25">
      <c r="A6" s="255" t="s">
        <v>349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74">
        <v>1</v>
      </c>
    </row>
    <row r="7" spans="1:14" s="72" customFormat="1" ht="15" customHeight="1" x14ac:dyDescent="0.25">
      <c r="A7" s="277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</row>
    <row r="8" spans="1:14" s="72" customFormat="1" ht="20.100000000000001" customHeight="1" x14ac:dyDescent="0.25">
      <c r="A8" s="256" t="s">
        <v>350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</row>
    <row r="9" spans="1:14" s="72" customFormat="1" ht="44.25" customHeight="1" x14ac:dyDescent="0.25">
      <c r="A9" s="75" t="s">
        <v>230</v>
      </c>
      <c r="B9" s="75" t="s">
        <v>231</v>
      </c>
      <c r="C9" s="103" t="s">
        <v>253</v>
      </c>
      <c r="D9" s="103" t="s">
        <v>254</v>
      </c>
      <c r="E9" s="85" t="s">
        <v>351</v>
      </c>
      <c r="F9" s="85" t="s">
        <v>241</v>
      </c>
      <c r="G9" s="75" t="s">
        <v>232</v>
      </c>
      <c r="H9" s="75" t="s">
        <v>352</v>
      </c>
      <c r="I9" s="76" t="s">
        <v>353</v>
      </c>
      <c r="J9" s="76" t="s">
        <v>337</v>
      </c>
      <c r="K9" s="76" t="s">
        <v>354</v>
      </c>
      <c r="L9" s="76" t="s">
        <v>237</v>
      </c>
    </row>
    <row r="10" spans="1:14" s="72" customFormat="1" ht="14.25" x14ac:dyDescent="0.2">
      <c r="A10" s="98" t="s">
        <v>289</v>
      </c>
      <c r="B10" s="69" t="str">
        <f>VLOOKUP(A10,MO!$A:$C,2,0)</f>
        <v>Engenheiro Chefe</v>
      </c>
      <c r="C10" s="95" t="str">
        <f>VLOOKUP(A10,MO!$A:$C,3,0)</f>
        <v>mês</v>
      </c>
      <c r="D10" s="95">
        <f>VLOOKUP(A10,MO!$A:$D,4,0)</f>
        <v>0</v>
      </c>
      <c r="E10" s="88"/>
      <c r="F10" s="88"/>
      <c r="G10" s="77">
        <f>ROUNDUP(IF(C10="mês",E10,(F10/($L$4*$L$5))),0)</f>
        <v>0</v>
      </c>
      <c r="H10" s="78"/>
      <c r="I10" s="104"/>
      <c r="J10" s="105"/>
      <c r="K10" s="80"/>
      <c r="L10" s="81"/>
    </row>
    <row r="11" spans="1:14" s="72" customFormat="1" ht="14.25" x14ac:dyDescent="0.2">
      <c r="A11" s="98" t="s">
        <v>292</v>
      </c>
      <c r="B11" s="69" t="str">
        <f>VLOOKUP(A11,MO!$A:$C,2,0)</f>
        <v>Engenheiro Pleno</v>
      </c>
      <c r="C11" s="95" t="str">
        <f>VLOOKUP(A11,MO!$A:$C,3,0)</f>
        <v>mês</v>
      </c>
      <c r="D11" s="95">
        <f>VLOOKUP(A11,MO!$A:$D,4,0)</f>
        <v>0</v>
      </c>
      <c r="E11" s="88"/>
      <c r="F11" s="88"/>
      <c r="G11" s="77">
        <f t="shared" ref="G11:G69" si="0">ROUNDUP(IF(C11="mês",E11,(F11/($L$4*$L$5))),0)</f>
        <v>0</v>
      </c>
      <c r="H11" s="78"/>
      <c r="I11" s="104"/>
      <c r="J11" s="105"/>
      <c r="K11" s="80"/>
      <c r="L11" s="81"/>
    </row>
    <row r="12" spans="1:14" s="72" customFormat="1" ht="14.25" x14ac:dyDescent="0.2">
      <c r="A12" s="98" t="s">
        <v>294</v>
      </c>
      <c r="B12" s="69" t="str">
        <f>VLOOKUP(A12,MO!$A:$C,2,0)</f>
        <v>Engenheiro Auxiliar</v>
      </c>
      <c r="C12" s="95" t="str">
        <f>VLOOKUP(A12,MO!$A:$C,3,0)</f>
        <v>mês</v>
      </c>
      <c r="D12" s="95">
        <f>VLOOKUP(A12,MO!$A:$D,4,0)</f>
        <v>0</v>
      </c>
      <c r="E12" s="88"/>
      <c r="F12" s="88"/>
      <c r="G12" s="77">
        <f t="shared" si="0"/>
        <v>0</v>
      </c>
      <c r="H12" s="78"/>
      <c r="I12" s="104"/>
      <c r="J12" s="105"/>
      <c r="K12" s="80"/>
      <c r="L12" s="81"/>
    </row>
    <row r="13" spans="1:14" s="72" customFormat="1" ht="14.25" x14ac:dyDescent="0.2">
      <c r="A13" s="98" t="s">
        <v>295</v>
      </c>
      <c r="B13" s="69" t="str">
        <f>VLOOKUP(A13,MO!$A:$C,2,0)</f>
        <v>Técnico Nível Médio Estradas</v>
      </c>
      <c r="C13" s="95" t="str">
        <f>VLOOKUP(A13,MO!$A:$C,3,0)</f>
        <v>mês</v>
      </c>
      <c r="D13" s="95">
        <f>VLOOKUP(A13,MO!$A:$D,4,0)</f>
        <v>0</v>
      </c>
      <c r="E13" s="88"/>
      <c r="F13" s="88"/>
      <c r="G13" s="77">
        <f t="shared" si="0"/>
        <v>0</v>
      </c>
      <c r="H13" s="78"/>
      <c r="I13" s="104"/>
      <c r="J13" s="105"/>
      <c r="K13" s="80"/>
      <c r="L13" s="81"/>
    </row>
    <row r="14" spans="1:14" s="72" customFormat="1" ht="14.25" x14ac:dyDescent="0.2">
      <c r="A14" s="98" t="s">
        <v>297</v>
      </c>
      <c r="B14" s="69" t="str">
        <f>VLOOKUP(A14,MO!$A:$C,2,0)</f>
        <v>Desenhista</v>
      </c>
      <c r="C14" s="95" t="str">
        <f>VLOOKUP(A14,MO!$A:$C,3,0)</f>
        <v>mês</v>
      </c>
      <c r="D14" s="95">
        <f>VLOOKUP(A14,MO!$A:$D,4,0)</f>
        <v>0</v>
      </c>
      <c r="E14" s="88"/>
      <c r="F14" s="88"/>
      <c r="G14" s="77">
        <f t="shared" si="0"/>
        <v>0</v>
      </c>
      <c r="H14" s="78"/>
      <c r="I14" s="104"/>
      <c r="J14" s="105"/>
      <c r="K14" s="80"/>
      <c r="L14" s="81"/>
    </row>
    <row r="15" spans="1:14" s="72" customFormat="1" ht="14.25" x14ac:dyDescent="0.2">
      <c r="A15" s="98" t="s">
        <v>299</v>
      </c>
      <c r="B15" s="69" t="str">
        <f>VLOOKUP(A15,MO!$A:$C,2,0)</f>
        <v>Engenheiro em Meio Ambiente</v>
      </c>
      <c r="C15" s="95" t="str">
        <f>VLOOKUP(A15,MO!$A:$C,3,0)</f>
        <v>mês</v>
      </c>
      <c r="D15" s="95">
        <f>VLOOKUP(A15,MO!$A:$D,4,0)</f>
        <v>0</v>
      </c>
      <c r="E15" s="88"/>
      <c r="F15" s="88"/>
      <c r="G15" s="77">
        <f t="shared" si="0"/>
        <v>0</v>
      </c>
      <c r="H15" s="78"/>
      <c r="I15" s="104"/>
      <c r="J15" s="105"/>
      <c r="K15" s="80"/>
      <c r="L15" s="81"/>
    </row>
    <row r="16" spans="1:14" s="72" customFormat="1" ht="14.25" x14ac:dyDescent="0.2">
      <c r="A16" s="98" t="s">
        <v>300</v>
      </c>
      <c r="B16" s="69" t="str">
        <f>VLOOKUP(A16,MO!$A:$C,2,0)</f>
        <v>Técnico Especializado</v>
      </c>
      <c r="C16" s="95" t="str">
        <f>VLOOKUP(A16,MO!$A:$C,3,0)</f>
        <v>mês</v>
      </c>
      <c r="D16" s="95">
        <f>VLOOKUP(A16,MO!$A:$D,4,0)</f>
        <v>0</v>
      </c>
      <c r="E16" s="88"/>
      <c r="F16" s="88"/>
      <c r="G16" s="77">
        <f>ROUNDUP(IF(C16="mês",E16,(F16/($L$4*$L$5))),0)</f>
        <v>0</v>
      </c>
      <c r="H16" s="78"/>
      <c r="I16" s="104"/>
      <c r="J16" s="105"/>
      <c r="K16" s="80"/>
      <c r="L16" s="81"/>
    </row>
    <row r="17" spans="1:12" s="72" customFormat="1" ht="14.25" x14ac:dyDescent="0.2">
      <c r="A17" s="98" t="s">
        <v>302</v>
      </c>
      <c r="B17" s="69" t="str">
        <f>VLOOKUP(A17,MO!$A:$C,2,0)</f>
        <v>Engenheiro de Segurança do Trabalho</v>
      </c>
      <c r="C17" s="95" t="str">
        <f>VLOOKUP(A17,MO!$A:$C,3,0)</f>
        <v>mês</v>
      </c>
      <c r="D17" s="95">
        <f>VLOOKUP(A17,MO!$A:$D,4,0)</f>
        <v>0</v>
      </c>
      <c r="E17" s="88"/>
      <c r="F17" s="88"/>
      <c r="G17" s="77">
        <f t="shared" si="0"/>
        <v>0</v>
      </c>
      <c r="H17" s="78"/>
      <c r="I17" s="104"/>
      <c r="J17" s="105"/>
      <c r="K17" s="80"/>
      <c r="L17" s="81"/>
    </row>
    <row r="18" spans="1:12" s="72" customFormat="1" ht="14.25" x14ac:dyDescent="0.2">
      <c r="A18" s="98" t="s">
        <v>304</v>
      </c>
      <c r="B18" s="69" t="str">
        <f>VLOOKUP(A18,MO!$A:$C,2,0)</f>
        <v>Médico de Segurança do Trabalho</v>
      </c>
      <c r="C18" s="95" t="str">
        <f>VLOOKUP(A18,MO!$A:$C,3,0)</f>
        <v>mês</v>
      </c>
      <c r="D18" s="95">
        <f>VLOOKUP(A18,MO!$A:$D,4,0)</f>
        <v>0</v>
      </c>
      <c r="E18" s="88"/>
      <c r="F18" s="88"/>
      <c r="G18" s="77">
        <f t="shared" si="0"/>
        <v>0</v>
      </c>
      <c r="H18" s="78"/>
      <c r="I18" s="104"/>
      <c r="J18" s="105"/>
      <c r="K18" s="80"/>
      <c r="L18" s="81"/>
    </row>
    <row r="19" spans="1:12" s="72" customFormat="1" ht="14.25" x14ac:dyDescent="0.2">
      <c r="A19" s="98" t="s">
        <v>306</v>
      </c>
      <c r="B19" s="69" t="str">
        <f>VLOOKUP(A19,MO!$A:$C,2,0)</f>
        <v>Técnico de Segurança do Trabalho</v>
      </c>
      <c r="C19" s="95" t="str">
        <f>VLOOKUP(A19,MO!$A:$C,3,0)</f>
        <v>mês</v>
      </c>
      <c r="D19" s="95">
        <f>VLOOKUP(A19,MO!$A:$D,4,0)</f>
        <v>0</v>
      </c>
      <c r="E19" s="88"/>
      <c r="F19" s="88"/>
      <c r="G19" s="77">
        <f t="shared" si="0"/>
        <v>0</v>
      </c>
      <c r="H19" s="78"/>
      <c r="I19" s="104"/>
      <c r="J19" s="105"/>
      <c r="K19" s="80"/>
      <c r="L19" s="81"/>
    </row>
    <row r="20" spans="1:12" s="72" customFormat="1" ht="14.25" x14ac:dyDescent="0.2">
      <c r="A20" s="98" t="s">
        <v>308</v>
      </c>
      <c r="B20" s="69" t="str">
        <f>VLOOKUP(A20,MO!$A:$C,2,0)</f>
        <v>Topógrafo</v>
      </c>
      <c r="C20" s="95" t="str">
        <f>VLOOKUP(A20,MO!$A:$C,3,0)</f>
        <v>mês</v>
      </c>
      <c r="D20" s="95">
        <f>VLOOKUP(A20,MO!$A:$D,4,0)</f>
        <v>0</v>
      </c>
      <c r="E20" s="88"/>
      <c r="F20" s="88"/>
      <c r="G20" s="77">
        <f t="shared" si="0"/>
        <v>0</v>
      </c>
      <c r="H20" s="78"/>
      <c r="I20" s="104"/>
      <c r="J20" s="105"/>
      <c r="K20" s="80"/>
      <c r="L20" s="81"/>
    </row>
    <row r="21" spans="1:12" s="72" customFormat="1" ht="14.25" x14ac:dyDescent="0.2">
      <c r="A21" s="98" t="s">
        <v>309</v>
      </c>
      <c r="B21" s="69" t="str">
        <f>VLOOKUP(A21,MO!$A:$C,2,0)</f>
        <v>Auxiliar de Topografia</v>
      </c>
      <c r="C21" s="95" t="str">
        <f>VLOOKUP(A21,MO!$A:$C,3,0)</f>
        <v>mês</v>
      </c>
      <c r="D21" s="95">
        <f>VLOOKUP(A21,MO!$A:$D,4,0)</f>
        <v>0</v>
      </c>
      <c r="E21" s="88"/>
      <c r="F21" s="88"/>
      <c r="G21" s="77">
        <f t="shared" si="0"/>
        <v>0</v>
      </c>
      <c r="H21" s="78"/>
      <c r="I21" s="104"/>
      <c r="J21" s="105"/>
      <c r="K21" s="80"/>
      <c r="L21" s="81"/>
    </row>
    <row r="22" spans="1:12" s="72" customFormat="1" ht="14.25" x14ac:dyDescent="0.2">
      <c r="A22" s="98" t="s">
        <v>311</v>
      </c>
      <c r="B22" s="69" t="str">
        <f>VLOOKUP(A22,MO!$A:$C,2,0)</f>
        <v>Laboratorista</v>
      </c>
      <c r="C22" s="95" t="str">
        <f>VLOOKUP(A22,MO!$A:$C,3,0)</f>
        <v>mês</v>
      </c>
      <c r="D22" s="95">
        <f>VLOOKUP(A22,MO!$A:$D,4,0)</f>
        <v>0</v>
      </c>
      <c r="E22" s="88"/>
      <c r="F22" s="88"/>
      <c r="G22" s="77">
        <f t="shared" si="0"/>
        <v>0</v>
      </c>
      <c r="H22" s="78"/>
      <c r="I22" s="104"/>
      <c r="J22" s="105"/>
      <c r="K22" s="80"/>
      <c r="L22" s="81"/>
    </row>
    <row r="23" spans="1:12" s="72" customFormat="1" ht="14.25" x14ac:dyDescent="0.2">
      <c r="A23" s="98" t="s">
        <v>313</v>
      </c>
      <c r="B23" s="69" t="str">
        <f>VLOOKUP(A23,MO!$A:$C,2,0)</f>
        <v>Auxiliar de Laboratorista</v>
      </c>
      <c r="C23" s="95" t="str">
        <f>VLOOKUP(A23,MO!$A:$C,3,0)</f>
        <v>mês</v>
      </c>
      <c r="D23" s="95">
        <f>VLOOKUP(A23,MO!$A:$D,4,0)</f>
        <v>0</v>
      </c>
      <c r="E23" s="88"/>
      <c r="F23" s="88"/>
      <c r="G23" s="77">
        <f t="shared" si="0"/>
        <v>0</v>
      </c>
      <c r="H23" s="78"/>
      <c r="I23" s="104"/>
      <c r="J23" s="105"/>
      <c r="K23" s="80"/>
      <c r="L23" s="81"/>
    </row>
    <row r="24" spans="1:12" s="72" customFormat="1" ht="14.25" x14ac:dyDescent="0.2">
      <c r="A24" s="98" t="s">
        <v>315</v>
      </c>
      <c r="B24" s="69" t="str">
        <f>VLOOKUP(A24,MO!$A:$C,2,0)</f>
        <v>Encarregado Geral</v>
      </c>
      <c r="C24" s="95" t="str">
        <f>VLOOKUP(A24,MO!$A:$C,3,0)</f>
        <v>mês</v>
      </c>
      <c r="D24" s="95">
        <f>VLOOKUP(A24,MO!$A:$D,4,0)</f>
        <v>0</v>
      </c>
      <c r="E24" s="88"/>
      <c r="F24" s="88"/>
      <c r="G24" s="77">
        <f t="shared" si="0"/>
        <v>0</v>
      </c>
      <c r="H24" s="78"/>
      <c r="I24" s="104"/>
      <c r="J24" s="105"/>
      <c r="K24" s="80"/>
      <c r="L24" s="81"/>
    </row>
    <row r="25" spans="1:12" s="72" customFormat="1" ht="14.25" x14ac:dyDescent="0.2">
      <c r="A25" s="98" t="s">
        <v>317</v>
      </c>
      <c r="B25" s="69" t="str">
        <f>VLOOKUP(A25,MO!$A:$C,2,0)</f>
        <v>Encarregado Especializado</v>
      </c>
      <c r="C25" s="95" t="str">
        <f>VLOOKUP(A25,MO!$A:$C,3,0)</f>
        <v>mês</v>
      </c>
      <c r="D25" s="95">
        <f>VLOOKUP(A25,MO!$A:$D,4,0)</f>
        <v>0</v>
      </c>
      <c r="E25" s="88"/>
      <c r="F25" s="88"/>
      <c r="G25" s="77">
        <f t="shared" si="0"/>
        <v>0</v>
      </c>
      <c r="H25" s="78"/>
      <c r="I25" s="104"/>
      <c r="J25" s="105"/>
      <c r="K25" s="80"/>
      <c r="L25" s="81"/>
    </row>
    <row r="26" spans="1:12" s="72" customFormat="1" ht="14.25" x14ac:dyDescent="0.2">
      <c r="A26" s="98" t="s">
        <v>319</v>
      </c>
      <c r="B26" s="69" t="str">
        <f>VLOOKUP(A26,MO!$A:$C,2,0)</f>
        <v>Apontador</v>
      </c>
      <c r="C26" s="95" t="str">
        <f>VLOOKUP(A26,MO!$A:$C,3,0)</f>
        <v>mês</v>
      </c>
      <c r="D26" s="95">
        <f>VLOOKUP(A26,MO!$A:$D,4,0)</f>
        <v>0</v>
      </c>
      <c r="E26" s="88"/>
      <c r="F26" s="88"/>
      <c r="G26" s="77">
        <f t="shared" si="0"/>
        <v>0</v>
      </c>
      <c r="H26" s="78"/>
      <c r="I26" s="104"/>
      <c r="J26" s="105"/>
      <c r="K26" s="80"/>
      <c r="L26" s="81"/>
    </row>
    <row r="27" spans="1:12" s="72" customFormat="1" ht="14.25" x14ac:dyDescent="0.2">
      <c r="A27" s="98" t="s">
        <v>320</v>
      </c>
      <c r="B27" s="69" t="str">
        <f>VLOOKUP(A27,MO!$A:$C,2,0)</f>
        <v>Motorista de veículo leve</v>
      </c>
      <c r="C27" s="95" t="str">
        <f>VLOOKUP(A27,MO!$A:$C,3,0)</f>
        <v>mês</v>
      </c>
      <c r="D27" s="95">
        <f>VLOOKUP(A27,MO!$A:$D,4,0)</f>
        <v>0</v>
      </c>
      <c r="E27" s="88"/>
      <c r="F27" s="88"/>
      <c r="G27" s="77">
        <f t="shared" si="0"/>
        <v>0</v>
      </c>
      <c r="H27" s="78"/>
      <c r="I27" s="104"/>
      <c r="J27" s="105"/>
      <c r="K27" s="80"/>
      <c r="L27" s="81"/>
    </row>
    <row r="28" spans="1:12" s="72" customFormat="1" ht="14.25" x14ac:dyDescent="0.2">
      <c r="A28" s="98" t="s">
        <v>322</v>
      </c>
      <c r="B28" s="69" t="str">
        <f>VLOOKUP(A28,MO!$A:$C,2,0)</f>
        <v>Encarregado Administrativo</v>
      </c>
      <c r="C28" s="95" t="str">
        <f>VLOOKUP(A28,MO!$A:$C,3,0)</f>
        <v>mês</v>
      </c>
      <c r="D28" s="95">
        <f>VLOOKUP(A28,MO!$A:$D,4,0)</f>
        <v>0</v>
      </c>
      <c r="E28" s="88"/>
      <c r="F28" s="88"/>
      <c r="G28" s="77">
        <f t="shared" si="0"/>
        <v>0</v>
      </c>
      <c r="H28" s="78"/>
      <c r="I28" s="104"/>
      <c r="J28" s="105"/>
      <c r="K28" s="80"/>
      <c r="L28" s="81"/>
    </row>
    <row r="29" spans="1:12" s="72" customFormat="1" ht="14.25" x14ac:dyDescent="0.2">
      <c r="A29" s="98" t="s">
        <v>324</v>
      </c>
      <c r="B29" s="69" t="str">
        <f>VLOOKUP(A29,MO!$A:$C,2,0)</f>
        <v>Auxiliar Administrativo</v>
      </c>
      <c r="C29" s="95" t="str">
        <f>VLOOKUP(A29,MO!$A:$C,3,0)</f>
        <v>mês</v>
      </c>
      <c r="D29" s="95">
        <f>VLOOKUP(A29,MO!$A:$D,4,0)</f>
        <v>0</v>
      </c>
      <c r="E29" s="88"/>
      <c r="F29" s="88"/>
      <c r="G29" s="77">
        <f t="shared" si="0"/>
        <v>0</v>
      </c>
      <c r="H29" s="78"/>
      <c r="I29" s="104"/>
      <c r="J29" s="105"/>
      <c r="K29" s="80"/>
      <c r="L29" s="81"/>
    </row>
    <row r="30" spans="1:12" s="72" customFormat="1" ht="14.25" x14ac:dyDescent="0.2">
      <c r="A30" s="98" t="s">
        <v>326</v>
      </c>
      <c r="B30" s="69" t="str">
        <f>VLOOKUP(A30,MO!$A:$C,2,0)</f>
        <v>Almoxarife/Comprador</v>
      </c>
      <c r="C30" s="95" t="str">
        <f>VLOOKUP(A30,MO!$A:$C,3,0)</f>
        <v>mês</v>
      </c>
      <c r="D30" s="95">
        <f>VLOOKUP(A30,MO!$A:$D,4,0)</f>
        <v>0</v>
      </c>
      <c r="E30" s="88"/>
      <c r="F30" s="88"/>
      <c r="G30" s="77">
        <f t="shared" si="0"/>
        <v>0</v>
      </c>
      <c r="H30" s="78"/>
      <c r="I30" s="104"/>
      <c r="J30" s="105"/>
      <c r="K30" s="80"/>
      <c r="L30" s="81"/>
    </row>
    <row r="31" spans="1:12" s="72" customFormat="1" ht="14.25" x14ac:dyDescent="0.2">
      <c r="A31" s="98" t="s">
        <v>328</v>
      </c>
      <c r="B31" s="69" t="str">
        <f>VLOOKUP(A31,MO!$A:$C,2,0)</f>
        <v>Recepcionista/ Telefonista</v>
      </c>
      <c r="C31" s="95" t="str">
        <f>VLOOKUP(A31,MO!$A:$C,3,0)</f>
        <v>mês</v>
      </c>
      <c r="D31" s="95">
        <f>VLOOKUP(A31,MO!$A:$D,4,0)</f>
        <v>0</v>
      </c>
      <c r="E31" s="88"/>
      <c r="F31" s="88"/>
      <c r="G31" s="77">
        <f t="shared" si="0"/>
        <v>0</v>
      </c>
      <c r="H31" s="78"/>
      <c r="I31" s="104"/>
      <c r="J31" s="105"/>
      <c r="K31" s="80"/>
      <c r="L31" s="81"/>
    </row>
    <row r="32" spans="1:12" s="72" customFormat="1" ht="14.25" x14ac:dyDescent="0.2">
      <c r="A32" s="98" t="s">
        <v>330</v>
      </c>
      <c r="B32" s="69" t="str">
        <f>VLOOKUP(A32,MO!$A:$C,2,0)</f>
        <v>Faxineira</v>
      </c>
      <c r="C32" s="95" t="str">
        <f>VLOOKUP(A32,MO!$A:$C,3,0)</f>
        <v>mês</v>
      </c>
      <c r="D32" s="95">
        <f>VLOOKUP(A32,MO!$A:$D,4,0)</f>
        <v>0</v>
      </c>
      <c r="E32" s="88"/>
      <c r="F32" s="88"/>
      <c r="G32" s="77">
        <f t="shared" si="0"/>
        <v>0</v>
      </c>
      <c r="H32" s="78"/>
      <c r="I32" s="104"/>
      <c r="J32" s="105"/>
      <c r="K32" s="80"/>
      <c r="L32" s="81"/>
    </row>
    <row r="33" spans="1:12" s="72" customFormat="1" ht="14.25" x14ac:dyDescent="0.2">
      <c r="A33" s="98" t="s">
        <v>332</v>
      </c>
      <c r="B33" s="69" t="str">
        <f>VLOOKUP(A33,MO!$A:$C,2,0)</f>
        <v>Vigia Diurno</v>
      </c>
      <c r="C33" s="95" t="str">
        <f>VLOOKUP(A33,MO!$A:$C,3,0)</f>
        <v>mês</v>
      </c>
      <c r="D33" s="95">
        <f>VLOOKUP(A33,MO!$A:$D,4,0)</f>
        <v>0</v>
      </c>
      <c r="E33" s="88"/>
      <c r="F33" s="88"/>
      <c r="G33" s="77">
        <f t="shared" si="0"/>
        <v>0</v>
      </c>
      <c r="H33" s="78"/>
      <c r="I33" s="104"/>
      <c r="J33" s="105"/>
      <c r="K33" s="80"/>
      <c r="L33" s="81"/>
    </row>
    <row r="34" spans="1:12" s="72" customFormat="1" ht="14.25" x14ac:dyDescent="0.2">
      <c r="A34" s="98" t="s">
        <v>334</v>
      </c>
      <c r="B34" s="69" t="str">
        <f>VLOOKUP(A34,MO!$A:$C,2,0)</f>
        <v>Vigia Noturno</v>
      </c>
      <c r="C34" s="95" t="str">
        <f>VLOOKUP(A34,MO!$A:$C,3,0)</f>
        <v>mês</v>
      </c>
      <c r="D34" s="95">
        <f>VLOOKUP(A34,MO!$A:$D,4,0)</f>
        <v>0</v>
      </c>
      <c r="E34" s="88"/>
      <c r="F34" s="88"/>
      <c r="G34" s="77">
        <f t="shared" si="0"/>
        <v>0</v>
      </c>
      <c r="H34" s="78"/>
      <c r="I34" s="104"/>
      <c r="J34" s="105"/>
      <c r="K34" s="80"/>
      <c r="L34" s="81"/>
    </row>
    <row r="35" spans="1:12" s="72" customFormat="1" ht="14.25" x14ac:dyDescent="0.2">
      <c r="A35" s="98" t="s">
        <v>443</v>
      </c>
      <c r="B35" s="69" t="str">
        <f>VLOOKUP(A35,MO!$A:$C,2,0)</f>
        <v>Servente</v>
      </c>
      <c r="C35" s="95" t="str">
        <f>VLOOKUP(A35,MO!$A:$C,3,0)</f>
        <v>mês</v>
      </c>
      <c r="D35" s="95">
        <f>VLOOKUP(A35,MO!$A:$D,4,0)</f>
        <v>0</v>
      </c>
      <c r="E35" s="88"/>
      <c r="F35" s="88"/>
      <c r="G35" s="77">
        <f t="shared" si="0"/>
        <v>0</v>
      </c>
      <c r="H35" s="78"/>
      <c r="I35" s="104"/>
      <c r="J35" s="105"/>
      <c r="K35" s="80"/>
      <c r="L35" s="81"/>
    </row>
    <row r="36" spans="1:12" s="72" customFormat="1" ht="14.25" x14ac:dyDescent="0.2">
      <c r="A36" s="98" t="s">
        <v>444</v>
      </c>
      <c r="B36" s="69" t="str">
        <f>VLOOKUP(A36,MO!$A:$C,2,0)</f>
        <v>Eletricista</v>
      </c>
      <c r="C36" s="95" t="str">
        <f>VLOOKUP(A36,MO!$A:$C,3,0)</f>
        <v>mês</v>
      </c>
      <c r="D36" s="95">
        <f>VLOOKUP(A36,MO!$A:$D,4,0)</f>
        <v>0</v>
      </c>
      <c r="E36" s="88"/>
      <c r="F36" s="88"/>
      <c r="G36" s="77">
        <f t="shared" si="0"/>
        <v>0</v>
      </c>
      <c r="H36" s="78"/>
      <c r="I36" s="104"/>
      <c r="J36" s="105"/>
      <c r="K36" s="80"/>
      <c r="L36" s="81"/>
    </row>
    <row r="37" spans="1:12" s="72" customFormat="1" thickBot="1" x14ac:dyDescent="0.25">
      <c r="A37" s="163" t="s">
        <v>445</v>
      </c>
      <c r="B37" s="164" t="str">
        <f>VLOOKUP(A37,MO!$A:$C,2,0)</f>
        <v>Carpinteiro</v>
      </c>
      <c r="C37" s="165" t="str">
        <f>VLOOKUP(A37,MO!$A:$C,3,0)</f>
        <v>mês</v>
      </c>
      <c r="D37" s="165">
        <f>VLOOKUP(A37,MO!$A:$D,4,0)</f>
        <v>0</v>
      </c>
      <c r="E37" s="166"/>
      <c r="F37" s="166"/>
      <c r="G37" s="167">
        <f t="shared" si="0"/>
        <v>0</v>
      </c>
      <c r="H37" s="168"/>
      <c r="I37" s="169"/>
      <c r="J37" s="170"/>
      <c r="K37" s="171"/>
      <c r="L37" s="172"/>
    </row>
    <row r="38" spans="1:12" s="72" customFormat="1" thickTop="1" x14ac:dyDescent="0.2">
      <c r="A38" s="155">
        <f>MO!A6</f>
        <v>200230</v>
      </c>
      <c r="B38" s="92" t="str">
        <f>VLOOKUP(A38,MO!$A:$C,2,0)</f>
        <v>Armador</v>
      </c>
      <c r="C38" s="93" t="str">
        <f>VLOOKUP(A38,MO!$A:$C,3,0)</f>
        <v>hora</v>
      </c>
      <c r="D38" s="93">
        <f>VLOOKUP(A38,MO!$A:$D,4,0)</f>
        <v>0</v>
      </c>
      <c r="E38" s="156"/>
      <c r="F38" s="156"/>
      <c r="G38" s="157">
        <f t="shared" si="0"/>
        <v>0</v>
      </c>
      <c r="H38" s="158"/>
      <c r="I38" s="159"/>
      <c r="J38" s="160"/>
      <c r="K38" s="161"/>
      <c r="L38" s="162"/>
    </row>
    <row r="39" spans="1:12" s="72" customFormat="1" ht="14.25" x14ac:dyDescent="0.2">
      <c r="A39" s="94">
        <f>MO!A7</f>
        <v>210040</v>
      </c>
      <c r="B39" s="69" t="str">
        <f>VLOOKUP(A39,MO!$A:$C,2,0)</f>
        <v>Blaster</v>
      </c>
      <c r="C39" s="95" t="str">
        <f>VLOOKUP(A39,MO!$A:$C,3,0)</f>
        <v>hora</v>
      </c>
      <c r="D39" s="95">
        <f>VLOOKUP(A39,MO!$A:$D,4,0)</f>
        <v>0</v>
      </c>
      <c r="E39" s="88"/>
      <c r="F39" s="88"/>
      <c r="G39" s="77">
        <f t="shared" si="0"/>
        <v>0</v>
      </c>
      <c r="H39" s="78"/>
      <c r="I39" s="104"/>
      <c r="J39" s="105"/>
      <c r="K39" s="80"/>
      <c r="L39" s="81"/>
    </row>
    <row r="40" spans="1:12" s="72" customFormat="1" ht="14.25" x14ac:dyDescent="0.2">
      <c r="A40" s="94">
        <f>MO!A8</f>
        <v>200110</v>
      </c>
      <c r="B40" s="69" t="str">
        <f>VLOOKUP(A40,MO!$A:$C,2,0)</f>
        <v>Calceteiro</v>
      </c>
      <c r="C40" s="95" t="str">
        <f>VLOOKUP(A40,MO!$A:$C,3,0)</f>
        <v>hora</v>
      </c>
      <c r="D40" s="95">
        <f>VLOOKUP(A40,MO!$A:$D,4,0)</f>
        <v>0</v>
      </c>
      <c r="E40" s="88"/>
      <c r="F40" s="88"/>
      <c r="G40" s="77">
        <f t="shared" si="0"/>
        <v>0</v>
      </c>
      <c r="H40" s="78"/>
      <c r="I40" s="104"/>
      <c r="J40" s="105"/>
      <c r="K40" s="80"/>
      <c r="L40" s="81"/>
    </row>
    <row r="41" spans="1:12" s="72" customFormat="1" ht="14.25" x14ac:dyDescent="0.2">
      <c r="A41" s="94">
        <f>MO!A9</f>
        <v>200210</v>
      </c>
      <c r="B41" s="69" t="str">
        <f>VLOOKUP(A41,MO!$A:$C,2,0)</f>
        <v>Cancheiro</v>
      </c>
      <c r="C41" s="95" t="str">
        <f>VLOOKUP(A41,MO!$A:$C,3,0)</f>
        <v>hora</v>
      </c>
      <c r="D41" s="95">
        <f>VLOOKUP(A41,MO!$A:$D,4,0)</f>
        <v>0</v>
      </c>
      <c r="E41" s="88"/>
      <c r="F41" s="88"/>
      <c r="G41" s="77">
        <f t="shared" si="0"/>
        <v>0</v>
      </c>
      <c r="H41" s="78"/>
      <c r="I41" s="104"/>
      <c r="J41" s="105"/>
      <c r="K41" s="80"/>
      <c r="L41" s="81"/>
    </row>
    <row r="42" spans="1:12" s="72" customFormat="1" ht="14.25" x14ac:dyDescent="0.2">
      <c r="A42" s="94">
        <f>MO!A10</f>
        <v>200240</v>
      </c>
      <c r="B42" s="69" t="str">
        <f>VLOOKUP(A42,MO!$A:$C,2,0)</f>
        <v>Carpinteiro</v>
      </c>
      <c r="C42" s="95" t="str">
        <f>VLOOKUP(A42,MO!$A:$C,3,0)</f>
        <v>hora</v>
      </c>
      <c r="D42" s="95">
        <f>VLOOKUP(A42,MO!$A:$D,4,0)</f>
        <v>0</v>
      </c>
      <c r="E42" s="88"/>
      <c r="F42" s="88"/>
      <c r="G42" s="77">
        <f t="shared" si="0"/>
        <v>0</v>
      </c>
      <c r="H42" s="78"/>
      <c r="I42" s="104"/>
      <c r="J42" s="105"/>
      <c r="K42" s="80"/>
      <c r="L42" s="81"/>
    </row>
    <row r="43" spans="1:12" s="72" customFormat="1" ht="14.25" x14ac:dyDescent="0.2">
      <c r="A43" s="94">
        <f>MO!A11</f>
        <v>200311</v>
      </c>
      <c r="B43" s="69" t="str">
        <f>VLOOKUP(A43,MO!$A:$C,2,0)</f>
        <v>Classificador de madeira</v>
      </c>
      <c r="C43" s="95" t="str">
        <f>VLOOKUP(A43,MO!$A:$C,3,0)</f>
        <v>hora</v>
      </c>
      <c r="D43" s="95">
        <f>VLOOKUP(A43,MO!$A:$D,4,0)</f>
        <v>0</v>
      </c>
      <c r="E43" s="88"/>
      <c r="F43" s="88"/>
      <c r="G43" s="77">
        <f t="shared" si="0"/>
        <v>0</v>
      </c>
      <c r="H43" s="78"/>
      <c r="I43" s="104"/>
      <c r="J43" s="105"/>
      <c r="K43" s="80"/>
      <c r="L43" s="81"/>
    </row>
    <row r="44" spans="1:12" s="72" customFormat="1" ht="14.25" x14ac:dyDescent="0.2">
      <c r="A44" s="94">
        <f>MO!A12</f>
        <v>210150</v>
      </c>
      <c r="B44" s="69" t="str">
        <f>VLOOKUP(A44,MO!$A:$C,2,0)</f>
        <v>Eletricista</v>
      </c>
      <c r="C44" s="95" t="str">
        <f>VLOOKUP(A44,MO!$A:$C,3,0)</f>
        <v>hora</v>
      </c>
      <c r="D44" s="95">
        <f>VLOOKUP(A44,MO!$A:$D,4,0)</f>
        <v>0</v>
      </c>
      <c r="E44" s="88"/>
      <c r="F44" s="88"/>
      <c r="G44" s="77">
        <f t="shared" si="0"/>
        <v>0</v>
      </c>
      <c r="H44" s="78"/>
      <c r="I44" s="104"/>
      <c r="J44" s="105"/>
      <c r="K44" s="80"/>
      <c r="L44" s="81"/>
    </row>
    <row r="45" spans="1:12" s="72" customFormat="1" ht="14.25" x14ac:dyDescent="0.2">
      <c r="A45" s="94">
        <f>MO!A13</f>
        <v>200150</v>
      </c>
      <c r="B45" s="69" t="str">
        <f>VLOOKUP(A45,MO!$A:$C,2,0)</f>
        <v>Equipe Carreta Perfuração</v>
      </c>
      <c r="C45" s="95" t="str">
        <f>VLOOKUP(A45,MO!$A:$C,3,0)</f>
        <v>hora</v>
      </c>
      <c r="D45" s="95">
        <f>VLOOKUP(A45,MO!$A:$D,4,0)</f>
        <v>0</v>
      </c>
      <c r="E45" s="88"/>
      <c r="F45" s="88"/>
      <c r="G45" s="77">
        <f>ROUNDUP(IF(C45="mês",E45,(F45/($L$4*$L$5))),0)*2</f>
        <v>0</v>
      </c>
      <c r="H45" s="78"/>
      <c r="I45" s="104"/>
      <c r="J45" s="105"/>
      <c r="K45" s="80"/>
      <c r="L45" s="81"/>
    </row>
    <row r="46" spans="1:12" s="72" customFormat="1" ht="14.25" x14ac:dyDescent="0.2">
      <c r="A46" s="94">
        <f>MO!A14</f>
        <v>200100</v>
      </c>
      <c r="B46" s="69" t="str">
        <f>VLOOKUP(A46,MO!$A:$C,2,0)</f>
        <v>Equipe Conjunto de Britagem</v>
      </c>
      <c r="C46" s="95" t="str">
        <f>VLOOKUP(A46,MO!$A:$C,3,0)</f>
        <v>hora</v>
      </c>
      <c r="D46" s="95">
        <f>VLOOKUP(A46,MO!$A:$D,4,0)</f>
        <v>0</v>
      </c>
      <c r="E46" s="88"/>
      <c r="F46" s="88"/>
      <c r="G46" s="77">
        <f>ROUNDUP(IF(C46="mês",E46,(F46/($L$4*$L$5))),0)*3</f>
        <v>0</v>
      </c>
      <c r="H46" s="78"/>
      <c r="I46" s="104"/>
      <c r="J46" s="105"/>
      <c r="K46" s="80"/>
      <c r="L46" s="81"/>
    </row>
    <row r="47" spans="1:12" s="72" customFormat="1" ht="14.25" x14ac:dyDescent="0.2">
      <c r="A47" s="94">
        <f>MO!A15</f>
        <v>200000</v>
      </c>
      <c r="B47" s="69" t="str">
        <f>VLOOKUP(A47,MO!$A:$C,2,0)</f>
        <v>Equipe Usina Asfalto</v>
      </c>
      <c r="C47" s="95" t="str">
        <f>VLOOKUP(A47,MO!$A:$C,3,0)</f>
        <v>hora</v>
      </c>
      <c r="D47" s="95">
        <f>VLOOKUP(A47,MO!$A:$D,4,0)</f>
        <v>0</v>
      </c>
      <c r="E47" s="88"/>
      <c r="F47" s="88"/>
      <c r="G47" s="77">
        <f>ROUNDUP(IF(C47="mês",E47,(F47/($L$4*$L$5))),0)*5</f>
        <v>0</v>
      </c>
      <c r="H47" s="78"/>
      <c r="I47" s="104"/>
      <c r="J47" s="105"/>
      <c r="K47" s="80"/>
      <c r="L47" s="81"/>
    </row>
    <row r="48" spans="1:12" s="72" customFormat="1" ht="14.25" x14ac:dyDescent="0.2">
      <c r="A48" s="94">
        <f>MO!A16</f>
        <v>200070</v>
      </c>
      <c r="B48" s="69" t="str">
        <f>VLOOKUP(A48,MO!$A:$C,2,0)</f>
        <v>Equipe Usina Solos B. Graduada</v>
      </c>
      <c r="C48" s="95" t="str">
        <f>VLOOKUP(A48,MO!$A:$C,3,0)</f>
        <v>hora</v>
      </c>
      <c r="D48" s="95">
        <f>VLOOKUP(A48,MO!$A:$D,4,0)</f>
        <v>0</v>
      </c>
      <c r="E48" s="88"/>
      <c r="F48" s="88"/>
      <c r="G48" s="77">
        <f>ROUNDUP(IF(C48="mês",E48,(F48/($L$4*$L$5))),0)*3</f>
        <v>0</v>
      </c>
      <c r="H48" s="78"/>
      <c r="I48" s="104"/>
      <c r="J48" s="105"/>
      <c r="K48" s="80"/>
      <c r="L48" s="81"/>
    </row>
    <row r="49" spans="1:12" s="72" customFormat="1" ht="14.25" x14ac:dyDescent="0.2">
      <c r="A49" s="94">
        <f>MO!A17</f>
        <v>200080</v>
      </c>
      <c r="B49" s="69" t="str">
        <f>VLOOKUP(A49,MO!$A:$C,2,0)</f>
        <v>Equipe Usina Solos c/dosador asfalto</v>
      </c>
      <c r="C49" s="95" t="str">
        <f>VLOOKUP(A49,MO!$A:$C,3,0)</f>
        <v>hora</v>
      </c>
      <c r="D49" s="95">
        <f>VLOOKUP(A49,MO!$A:$D,4,0)</f>
        <v>0</v>
      </c>
      <c r="E49" s="88"/>
      <c r="F49" s="88"/>
      <c r="G49" s="77">
        <f>ROUNDUP(IF(C49="mês",E49,(F49/($L$4*$L$5))),0)*3</f>
        <v>0</v>
      </c>
      <c r="H49" s="78"/>
      <c r="I49" s="104"/>
      <c r="J49" s="105"/>
      <c r="K49" s="80"/>
      <c r="L49" s="81"/>
    </row>
    <row r="50" spans="1:12" s="72" customFormat="1" ht="14.25" x14ac:dyDescent="0.2">
      <c r="A50" s="94">
        <f>MO!A18</f>
        <v>200090</v>
      </c>
      <c r="B50" s="69" t="str">
        <f>VLOOKUP(A50,MO!$A:$C,2,0)</f>
        <v>Equipe Usina Solos c/dosador cimento</v>
      </c>
      <c r="C50" s="95" t="str">
        <f>VLOOKUP(A50,MO!$A:$C,3,0)</f>
        <v>hora</v>
      </c>
      <c r="D50" s="95">
        <f>VLOOKUP(A50,MO!$A:$D,4,0)</f>
        <v>0</v>
      </c>
      <c r="E50" s="88"/>
      <c r="F50" s="88"/>
      <c r="G50" s="77">
        <f>ROUNDUP(IF(C50="mês",E50,(F50/($L$4*$L$5))),0)*3</f>
        <v>0</v>
      </c>
      <c r="H50" s="78"/>
      <c r="I50" s="104"/>
      <c r="J50" s="105"/>
      <c r="K50" s="80"/>
      <c r="L50" s="81"/>
    </row>
    <row r="51" spans="1:12" s="72" customFormat="1" ht="14.25" x14ac:dyDescent="0.2">
      <c r="A51" s="94">
        <f>MO!A19</f>
        <v>200200</v>
      </c>
      <c r="B51" s="69" t="str">
        <f>VLOOKUP(A51,MO!$A:$C,2,0)</f>
        <v>Marroeiro</v>
      </c>
      <c r="C51" s="95" t="str">
        <f>VLOOKUP(A51,MO!$A:$C,3,0)</f>
        <v>hora</v>
      </c>
      <c r="D51" s="95">
        <f>VLOOKUP(A51,MO!$A:$D,4,0)</f>
        <v>0</v>
      </c>
      <c r="E51" s="88"/>
      <c r="F51" s="88"/>
      <c r="G51" s="77">
        <f t="shared" si="0"/>
        <v>0</v>
      </c>
      <c r="H51" s="78"/>
      <c r="I51" s="104"/>
      <c r="J51" s="105"/>
      <c r="K51" s="80"/>
      <c r="L51" s="81"/>
    </row>
    <row r="52" spans="1:12" s="72" customFormat="1" ht="14.25" x14ac:dyDescent="0.2">
      <c r="A52" s="94">
        <f>MO!A20</f>
        <v>200060</v>
      </c>
      <c r="B52" s="69" t="str">
        <f>VLOOKUP(A52,MO!$A:$C,2,0)</f>
        <v>Marteleteiro</v>
      </c>
      <c r="C52" s="95" t="str">
        <f>VLOOKUP(A52,MO!$A:$C,3,0)</f>
        <v>hora</v>
      </c>
      <c r="D52" s="95">
        <f>VLOOKUP(A52,MO!$A:$D,4,0)</f>
        <v>0</v>
      </c>
      <c r="E52" s="88"/>
      <c r="F52" s="88"/>
      <c r="G52" s="77">
        <f t="shared" si="0"/>
        <v>0</v>
      </c>
      <c r="H52" s="78"/>
      <c r="I52" s="104"/>
      <c r="J52" s="105"/>
      <c r="K52" s="80"/>
      <c r="L52" s="81"/>
    </row>
    <row r="53" spans="1:12" s="72" customFormat="1" ht="14.25" x14ac:dyDescent="0.2">
      <c r="A53" s="94">
        <f>MO!A21</f>
        <v>200290</v>
      </c>
      <c r="B53" s="69" t="str">
        <f>VLOOKUP(A53,MO!$A:$C,2,0)</f>
        <v>Montador</v>
      </c>
      <c r="C53" s="95" t="str">
        <f>VLOOKUP(A53,MO!$A:$C,3,0)</f>
        <v>hora</v>
      </c>
      <c r="D53" s="95">
        <f>VLOOKUP(A53,MO!$A:$D,4,0)</f>
        <v>0</v>
      </c>
      <c r="E53" s="88"/>
      <c r="F53" s="88"/>
      <c r="G53" s="77">
        <f t="shared" si="0"/>
        <v>0</v>
      </c>
      <c r="H53" s="78"/>
      <c r="I53" s="104"/>
      <c r="J53" s="105"/>
      <c r="K53" s="80"/>
      <c r="L53" s="81"/>
    </row>
    <row r="54" spans="1:12" s="72" customFormat="1" ht="14.25" x14ac:dyDescent="0.2">
      <c r="A54" s="94">
        <f>MO!A22</f>
        <v>200170</v>
      </c>
      <c r="B54" s="69" t="str">
        <f>VLOOKUP(A54,MO!$A:$C,2,0)</f>
        <v>Motorista transp. asfalto</v>
      </c>
      <c r="C54" s="95" t="str">
        <f>VLOOKUP(A54,MO!$A:$C,3,0)</f>
        <v>hora</v>
      </c>
      <c r="D54" s="95">
        <f>VLOOKUP(A54,MO!$A:$D,4,0)</f>
        <v>0</v>
      </c>
      <c r="E54" s="88"/>
      <c r="F54" s="88"/>
      <c r="G54" s="77">
        <f t="shared" si="0"/>
        <v>0</v>
      </c>
      <c r="H54" s="78"/>
      <c r="I54" s="104"/>
      <c r="J54" s="105"/>
      <c r="K54" s="80"/>
      <c r="L54" s="81"/>
    </row>
    <row r="55" spans="1:12" s="72" customFormat="1" ht="14.25" x14ac:dyDescent="0.2">
      <c r="A55" s="94">
        <f>MO!A23</f>
        <v>200140</v>
      </c>
      <c r="B55" s="69" t="str">
        <f>VLOOKUP(A55,MO!$A:$C,2,0)</f>
        <v>Motorista veículo leve</v>
      </c>
      <c r="C55" s="95" t="str">
        <f>VLOOKUP(A55,MO!$A:$C,3,0)</f>
        <v>hora</v>
      </c>
      <c r="D55" s="95">
        <f>VLOOKUP(A55,MO!$A:$D,4,0)</f>
        <v>0</v>
      </c>
      <c r="E55" s="88"/>
      <c r="F55" s="88"/>
      <c r="G55" s="77">
        <f t="shared" si="0"/>
        <v>0</v>
      </c>
      <c r="H55" s="78"/>
      <c r="I55" s="104"/>
      <c r="J55" s="105"/>
      <c r="K55" s="80"/>
      <c r="L55" s="81"/>
    </row>
    <row r="56" spans="1:12" s="72" customFormat="1" ht="14.25" x14ac:dyDescent="0.2">
      <c r="A56" s="94">
        <f>MO!A24</f>
        <v>200180</v>
      </c>
      <c r="B56" s="69" t="str">
        <f>VLOOKUP(A56,MO!$A:$C,2,0)</f>
        <v>Motorista veículo médio</v>
      </c>
      <c r="C56" s="95" t="str">
        <f>VLOOKUP(A56,MO!$A:$C,3,0)</f>
        <v>hora</v>
      </c>
      <c r="D56" s="95">
        <f>VLOOKUP(A56,MO!$A:$D,4,0)</f>
        <v>0</v>
      </c>
      <c r="E56" s="88"/>
      <c r="F56" s="88"/>
      <c r="G56" s="77">
        <f t="shared" si="0"/>
        <v>0</v>
      </c>
      <c r="H56" s="78"/>
      <c r="I56" s="104"/>
      <c r="J56" s="105"/>
      <c r="K56" s="80"/>
      <c r="L56" s="81"/>
    </row>
    <row r="57" spans="1:12" s="72" customFormat="1" ht="14.25" x14ac:dyDescent="0.2">
      <c r="A57" s="94">
        <f>MO!A25</f>
        <v>210020</v>
      </c>
      <c r="B57" s="69" t="str">
        <f>VLOOKUP(A57,MO!$A:$C,2,0)</f>
        <v>Motorista veículo pesado</v>
      </c>
      <c r="C57" s="95" t="str">
        <f>VLOOKUP(A57,MO!$A:$C,3,0)</f>
        <v>hora</v>
      </c>
      <c r="D57" s="95">
        <f>VLOOKUP(A57,MO!$A:$D,4,0)</f>
        <v>0</v>
      </c>
      <c r="E57" s="88"/>
      <c r="F57" s="88"/>
      <c r="G57" s="77">
        <f t="shared" si="0"/>
        <v>0</v>
      </c>
      <c r="H57" s="78"/>
      <c r="I57" s="104"/>
      <c r="J57" s="105"/>
      <c r="K57" s="80"/>
      <c r="L57" s="81"/>
    </row>
    <row r="58" spans="1:12" s="72" customFormat="1" ht="14.25" x14ac:dyDescent="0.2">
      <c r="A58" s="94">
        <f>MO!A26</f>
        <v>200120</v>
      </c>
      <c r="B58" s="69" t="str">
        <f>VLOOKUP(A58,MO!$A:$C,2,0)</f>
        <v>Operador da leve</v>
      </c>
      <c r="C58" s="95" t="str">
        <f>VLOOKUP(A58,MO!$A:$C,3,0)</f>
        <v>hora</v>
      </c>
      <c r="D58" s="95">
        <f>VLOOKUP(A58,MO!$A:$D,4,0)</f>
        <v>0</v>
      </c>
      <c r="E58" s="88"/>
      <c r="F58" s="88"/>
      <c r="G58" s="77">
        <f t="shared" si="0"/>
        <v>0</v>
      </c>
      <c r="H58" s="78"/>
      <c r="I58" s="104"/>
      <c r="J58" s="105"/>
      <c r="K58" s="80"/>
      <c r="L58" s="81"/>
    </row>
    <row r="59" spans="1:12" s="72" customFormat="1" ht="14.25" x14ac:dyDescent="0.2">
      <c r="A59" s="94">
        <f>MO!A27</f>
        <v>210050</v>
      </c>
      <c r="B59" s="69" t="str">
        <f>VLOOKUP(A59,MO!$A:$C,2,0)</f>
        <v>Operador da pesada</v>
      </c>
      <c r="C59" s="95" t="str">
        <f>VLOOKUP(A59,MO!$A:$C,3,0)</f>
        <v>hora</v>
      </c>
      <c r="D59" s="95">
        <f>VLOOKUP(A59,MO!$A:$D,4,0)</f>
        <v>0</v>
      </c>
      <c r="E59" s="88"/>
      <c r="F59" s="88"/>
      <c r="G59" s="77">
        <f t="shared" si="0"/>
        <v>0</v>
      </c>
      <c r="H59" s="78"/>
      <c r="I59" s="104"/>
      <c r="J59" s="105"/>
      <c r="K59" s="80"/>
      <c r="L59" s="81"/>
    </row>
    <row r="60" spans="1:12" s="72" customFormat="1" ht="14.25" x14ac:dyDescent="0.2">
      <c r="A60" s="94">
        <f>MO!A28</f>
        <v>200160</v>
      </c>
      <c r="B60" s="69" t="str">
        <f>VLOOKUP(A60,MO!$A:$C,2,0)</f>
        <v>Operador de equipamentos manuais</v>
      </c>
      <c r="C60" s="95" t="str">
        <f>VLOOKUP(A60,MO!$A:$C,3,0)</f>
        <v>hora</v>
      </c>
      <c r="D60" s="95">
        <f>VLOOKUP(A60,MO!$A:$D,4,0)</f>
        <v>0</v>
      </c>
      <c r="E60" s="88"/>
      <c r="F60" s="88"/>
      <c r="G60" s="77">
        <f t="shared" si="0"/>
        <v>0</v>
      </c>
      <c r="H60" s="78"/>
      <c r="I60" s="104"/>
      <c r="J60" s="105"/>
      <c r="K60" s="80"/>
      <c r="L60" s="81"/>
    </row>
    <row r="61" spans="1:12" s="72" customFormat="1" ht="14.25" x14ac:dyDescent="0.2">
      <c r="A61" s="94">
        <f>MO!A29</f>
        <v>200260</v>
      </c>
      <c r="B61" s="69" t="str">
        <f>VLOOKUP(A61,MO!$A:$C,2,0)</f>
        <v>Pedreiro</v>
      </c>
      <c r="C61" s="95" t="str">
        <f>VLOOKUP(A61,MO!$A:$C,3,0)</f>
        <v>hora</v>
      </c>
      <c r="D61" s="95">
        <f>VLOOKUP(A61,MO!$A:$D,4,0)</f>
        <v>0</v>
      </c>
      <c r="E61" s="88"/>
      <c r="F61" s="88"/>
      <c r="G61" s="77">
        <f t="shared" si="0"/>
        <v>0</v>
      </c>
      <c r="H61" s="78"/>
      <c r="I61" s="104"/>
      <c r="J61" s="105"/>
      <c r="K61" s="80"/>
      <c r="L61" s="81"/>
    </row>
    <row r="62" spans="1:12" s="72" customFormat="1" ht="14.25" x14ac:dyDescent="0.2">
      <c r="A62" s="94">
        <f>MO!A30</f>
        <v>200270</v>
      </c>
      <c r="B62" s="69" t="str">
        <f>VLOOKUP(A62,MO!$A:$C,2,0)</f>
        <v>Pintor</v>
      </c>
      <c r="C62" s="95" t="str">
        <f>VLOOKUP(A62,MO!$A:$C,3,0)</f>
        <v>hora</v>
      </c>
      <c r="D62" s="95">
        <f>VLOOKUP(A62,MO!$A:$D,4,0)</f>
        <v>0</v>
      </c>
      <c r="E62" s="88"/>
      <c r="F62" s="88"/>
      <c r="G62" s="77">
        <f t="shared" si="0"/>
        <v>0</v>
      </c>
      <c r="H62" s="78"/>
      <c r="I62" s="104"/>
      <c r="J62" s="105"/>
      <c r="K62" s="80"/>
      <c r="L62" s="81"/>
    </row>
    <row r="63" spans="1:12" s="72" customFormat="1" ht="14.25" x14ac:dyDescent="0.2">
      <c r="A63" s="94">
        <f>MO!A31</f>
        <v>210070</v>
      </c>
      <c r="B63" s="69" t="str">
        <f>VLOOKUP(A63,MO!$A:$C,2,0)</f>
        <v>Pré-marcador (Sinalização)</v>
      </c>
      <c r="C63" s="95" t="str">
        <f>VLOOKUP(A63,MO!$A:$C,3,0)</f>
        <v>hora</v>
      </c>
      <c r="D63" s="95">
        <f>VLOOKUP(A63,MO!$A:$D,4,0)</f>
        <v>0</v>
      </c>
      <c r="E63" s="88"/>
      <c r="F63" s="88"/>
      <c r="G63" s="77">
        <f t="shared" si="0"/>
        <v>0</v>
      </c>
      <c r="H63" s="78"/>
      <c r="I63" s="104"/>
      <c r="J63" s="105"/>
      <c r="K63" s="80"/>
      <c r="L63" s="81"/>
    </row>
    <row r="64" spans="1:12" s="72" customFormat="1" ht="14.25" x14ac:dyDescent="0.2">
      <c r="A64" s="94">
        <f>MO!A32</f>
        <v>210090</v>
      </c>
      <c r="B64" s="69" t="str">
        <f>VLOOKUP(A64,MO!$A:$C,2,0)</f>
        <v>Serralheiro</v>
      </c>
      <c r="C64" s="95" t="str">
        <f>VLOOKUP(A64,MO!$A:$C,3,0)</f>
        <v>hora</v>
      </c>
      <c r="D64" s="95">
        <f>VLOOKUP(A64,MO!$A:$D,4,0)</f>
        <v>0</v>
      </c>
      <c r="E64" s="88"/>
      <c r="F64" s="88"/>
      <c r="G64" s="77">
        <f t="shared" si="0"/>
        <v>0</v>
      </c>
      <c r="H64" s="78"/>
      <c r="I64" s="104"/>
      <c r="J64" s="105"/>
      <c r="K64" s="80"/>
      <c r="L64" s="81"/>
    </row>
    <row r="65" spans="1:12" s="72" customFormat="1" ht="14.25" x14ac:dyDescent="0.2">
      <c r="A65" s="94">
        <f>MO!A33</f>
        <v>200130</v>
      </c>
      <c r="B65" s="69" t="str">
        <f>VLOOKUP(A65,MO!$A:$C,2,0)</f>
        <v>Servente</v>
      </c>
      <c r="C65" s="95" t="str">
        <f>VLOOKUP(A65,MO!$A:$C,3,0)</f>
        <v>hora</v>
      </c>
      <c r="D65" s="95">
        <f>VLOOKUP(A65,MO!$A:$D,4,0)</f>
        <v>0</v>
      </c>
      <c r="E65" s="88"/>
      <c r="F65" s="88"/>
      <c r="G65" s="77">
        <f t="shared" si="0"/>
        <v>0</v>
      </c>
      <c r="H65" s="78"/>
      <c r="I65" s="104"/>
      <c r="J65" s="105"/>
      <c r="K65" s="80"/>
      <c r="L65" s="81"/>
    </row>
    <row r="66" spans="1:12" s="72" customFormat="1" ht="14.25" x14ac:dyDescent="0.2">
      <c r="A66" s="94">
        <f>MO!A34</f>
        <v>200280</v>
      </c>
      <c r="B66" s="69" t="str">
        <f>VLOOKUP(A66,MO!$A:$C,2,0)</f>
        <v>Soldador</v>
      </c>
      <c r="C66" s="95" t="str">
        <f>VLOOKUP(A66,MO!$A:$C,3,0)</f>
        <v>hora</v>
      </c>
      <c r="D66" s="95">
        <f>VLOOKUP(A66,MO!$A:$D,4,0)</f>
        <v>0</v>
      </c>
      <c r="E66" s="88"/>
      <c r="F66" s="88"/>
      <c r="G66" s="77">
        <f t="shared" si="0"/>
        <v>0</v>
      </c>
      <c r="H66" s="78"/>
      <c r="I66" s="104"/>
      <c r="J66" s="105"/>
      <c r="K66" s="80"/>
      <c r="L66" s="81"/>
    </row>
    <row r="67" spans="1:12" s="72" customFormat="1" ht="14.25" x14ac:dyDescent="0.2">
      <c r="A67" s="94">
        <f>MO!A35</f>
        <v>210060</v>
      </c>
      <c r="B67" s="69" t="str">
        <f>VLOOKUP(A67,MO!$A:$C,2,0)</f>
        <v>Técnico de Campo I</v>
      </c>
      <c r="C67" s="95" t="str">
        <f>VLOOKUP(A67,MO!$A:$C,3,0)</f>
        <v>hora</v>
      </c>
      <c r="D67" s="95">
        <f>VLOOKUP(A67,MO!$A:$D,4,0)</f>
        <v>0</v>
      </c>
      <c r="E67" s="88"/>
      <c r="F67" s="88"/>
      <c r="G67" s="77">
        <f t="shared" si="0"/>
        <v>0</v>
      </c>
      <c r="H67" s="78"/>
      <c r="I67" s="104"/>
      <c r="J67" s="105"/>
      <c r="K67" s="80"/>
      <c r="L67" s="81"/>
    </row>
    <row r="68" spans="1:12" s="72" customFormat="1" ht="14.25" x14ac:dyDescent="0.2">
      <c r="A68" s="94">
        <f>MO!A36</f>
        <v>200250</v>
      </c>
      <c r="B68" s="69" t="str">
        <f>VLOOKUP(A68,MO!$A:$C,2,0)</f>
        <v>Técnico de Campo III</v>
      </c>
      <c r="C68" s="95" t="str">
        <f>VLOOKUP(A68,MO!$A:$C,3,0)</f>
        <v>hora</v>
      </c>
      <c r="D68" s="95">
        <f>VLOOKUP(A68,MO!$A:$D,4,0)</f>
        <v>0</v>
      </c>
      <c r="E68" s="88"/>
      <c r="F68" s="88"/>
      <c r="G68" s="77">
        <f t="shared" si="0"/>
        <v>0</v>
      </c>
      <c r="H68" s="78"/>
      <c r="I68" s="104"/>
      <c r="J68" s="105"/>
      <c r="K68" s="80"/>
      <c r="L68" s="81"/>
    </row>
    <row r="69" spans="1:12" s="72" customFormat="1" ht="14.25" x14ac:dyDescent="0.2">
      <c r="A69" s="94">
        <f>MO!A37</f>
        <v>210080</v>
      </c>
      <c r="B69" s="69" t="str">
        <f>VLOOKUP(A69,MO!$A:$C,2,0)</f>
        <v>Topógrafo</v>
      </c>
      <c r="C69" s="95" t="str">
        <f>VLOOKUP(A69,MO!$A:$C,3,0)</f>
        <v>hora</v>
      </c>
      <c r="D69" s="95">
        <f>VLOOKUP(A69,MO!$A:$D,4,0)</f>
        <v>0</v>
      </c>
      <c r="E69" s="88"/>
      <c r="F69" s="88"/>
      <c r="G69" s="77">
        <f t="shared" si="0"/>
        <v>0</v>
      </c>
      <c r="H69" s="78"/>
      <c r="I69" s="104"/>
      <c r="J69" s="105"/>
      <c r="K69" s="80"/>
      <c r="L69" s="81"/>
    </row>
    <row r="70" spans="1:12" s="72" customFormat="1" ht="25.5" customHeight="1" x14ac:dyDescent="0.25">
      <c r="A70" s="278" t="s">
        <v>355</v>
      </c>
      <c r="B70" s="278"/>
      <c r="C70" s="278"/>
      <c r="D70" s="278"/>
      <c r="E70" s="278"/>
      <c r="F70" s="278"/>
      <c r="G70" s="278"/>
      <c r="H70" s="278"/>
      <c r="I70" s="278"/>
      <c r="J70" s="278"/>
      <c r="K70" s="278"/>
      <c r="L70" s="83"/>
    </row>
    <row r="71" spans="1:12" s="72" customFormat="1" ht="19.5" customHeight="1" x14ac:dyDescent="0.25">
      <c r="A71" s="273" t="s">
        <v>249</v>
      </c>
      <c r="B71" s="273"/>
      <c r="C71" s="273"/>
      <c r="D71" s="273"/>
      <c r="E71" s="273"/>
      <c r="F71" s="273"/>
      <c r="G71" s="273"/>
      <c r="H71" s="273"/>
      <c r="I71" s="273"/>
      <c r="J71" s="273"/>
      <c r="K71" s="273"/>
      <c r="L71" s="273"/>
    </row>
    <row r="72" spans="1:12" x14ac:dyDescent="0.25">
      <c r="C72" s="128" t="s">
        <v>447</v>
      </c>
      <c r="E72" s="122">
        <f>SUM(G10:G37)</f>
        <v>0</v>
      </c>
      <c r="F72" s="123"/>
      <c r="G72" s="122">
        <f>SUM(G38:G69)</f>
        <v>0</v>
      </c>
      <c r="H72" s="123"/>
      <c r="I72" s="122">
        <f>E72+G72</f>
        <v>0</v>
      </c>
    </row>
    <row r="73" spans="1:12" x14ac:dyDescent="0.25">
      <c r="C73" s="128"/>
      <c r="E73" s="124" t="s">
        <v>448</v>
      </c>
      <c r="G73" s="124" t="s">
        <v>449</v>
      </c>
      <c r="H73" s="126"/>
      <c r="I73" s="124" t="s">
        <v>450</v>
      </c>
    </row>
    <row r="74" spans="1:12" x14ac:dyDescent="0.25">
      <c r="F74" s="127"/>
      <c r="G74" s="128"/>
      <c r="H74" s="123"/>
      <c r="I74" s="123"/>
    </row>
    <row r="75" spans="1:12" x14ac:dyDescent="0.25">
      <c r="G75" s="125" t="s">
        <v>451</v>
      </c>
    </row>
    <row r="76" spans="1:12" x14ac:dyDescent="0.25">
      <c r="G76" s="124">
        <f>H76*16</f>
        <v>16</v>
      </c>
      <c r="H76" s="197">
        <v>1</v>
      </c>
      <c r="I76" s="72" t="s">
        <v>472</v>
      </c>
    </row>
    <row r="77" spans="1:12" x14ac:dyDescent="0.25">
      <c r="G77" s="124">
        <f>H77*30</f>
        <v>30</v>
      </c>
      <c r="H77" s="197">
        <v>1</v>
      </c>
      <c r="I77" s="72" t="s">
        <v>473</v>
      </c>
    </row>
    <row r="78" spans="1:12" x14ac:dyDescent="0.25">
      <c r="G78" s="124">
        <f>H78*40</f>
        <v>40</v>
      </c>
      <c r="H78" s="197">
        <v>1</v>
      </c>
      <c r="I78" s="72" t="s">
        <v>474</v>
      </c>
    </row>
    <row r="79" spans="1:12" x14ac:dyDescent="0.25">
      <c r="F79" s="198" t="s">
        <v>475</v>
      </c>
      <c r="G79" s="154">
        <f>SUM(G76:G78)</f>
        <v>86</v>
      </c>
    </row>
    <row r="80" spans="1:12" x14ac:dyDescent="0.25">
      <c r="G80" s="199" t="e">
        <f>G79/$G$72</f>
        <v>#DIV/0!</v>
      </c>
    </row>
    <row r="82" spans="8:13" x14ac:dyDescent="0.25">
      <c r="H82" s="124">
        <v>16</v>
      </c>
      <c r="I82" s="73">
        <v>1</v>
      </c>
      <c r="J82" s="124">
        <f>H82*I82</f>
        <v>16</v>
      </c>
      <c r="K82" s="124">
        <f>I82*44*$L$4</f>
        <v>44</v>
      </c>
      <c r="L82" s="124">
        <f>CHP!$C$113</f>
        <v>230.23</v>
      </c>
      <c r="M82" s="200">
        <f>TRUNC(K82*L82,2)</f>
        <v>10130.120000000001</v>
      </c>
    </row>
    <row r="83" spans="8:13" x14ac:dyDescent="0.25">
      <c r="H83" s="124">
        <v>30</v>
      </c>
      <c r="I83" s="73">
        <v>1</v>
      </c>
      <c r="J83" s="124">
        <f t="shared" ref="J83:J84" si="1">H83*I83</f>
        <v>30</v>
      </c>
      <c r="K83" s="124">
        <f t="shared" ref="K83:K84" si="2">I83*44*$L$4</f>
        <v>44</v>
      </c>
      <c r="L83" s="124">
        <f>CHP!$C$114</f>
        <v>233.31</v>
      </c>
      <c r="M83" s="200">
        <f t="shared" ref="M83:M84" si="3">TRUNC(K83*L83,2)</f>
        <v>10265.64</v>
      </c>
    </row>
    <row r="84" spans="8:13" x14ac:dyDescent="0.25">
      <c r="H84" s="124">
        <v>40</v>
      </c>
      <c r="I84" s="73">
        <v>1</v>
      </c>
      <c r="J84" s="124">
        <f t="shared" si="1"/>
        <v>40</v>
      </c>
      <c r="K84" s="124">
        <f t="shared" si="2"/>
        <v>44</v>
      </c>
      <c r="L84" s="124">
        <f>CHP!$C$206</f>
        <v>395.05</v>
      </c>
      <c r="M84" s="200">
        <f t="shared" si="3"/>
        <v>17382.2</v>
      </c>
    </row>
    <row r="85" spans="8:13" x14ac:dyDescent="0.25">
      <c r="J85" s="128">
        <f>SUM(J82:J84)</f>
        <v>86</v>
      </c>
      <c r="M85" s="201">
        <f>SUM(M82:M84)</f>
        <v>37777.960000000006</v>
      </c>
    </row>
    <row r="86" spans="8:13" x14ac:dyDescent="0.25">
      <c r="J86" s="72" t="e">
        <f>J85/$G$72</f>
        <v>#DIV/0!</v>
      </c>
    </row>
  </sheetData>
  <mergeCells count="10">
    <mergeCell ref="A71:L71"/>
    <mergeCell ref="A1:L1"/>
    <mergeCell ref="A2:L2"/>
    <mergeCell ref="A3:L3"/>
    <mergeCell ref="A4:K4"/>
    <mergeCell ref="A5:K5"/>
    <mergeCell ref="A6:K6"/>
    <mergeCell ref="A7:L7"/>
    <mergeCell ref="A8:L8"/>
    <mergeCell ref="A70:K70"/>
  </mergeCells>
  <printOptions horizontalCentered="1" verticalCentered="1"/>
  <pageMargins left="0.19685039370078741" right="0.23622047244094491" top="0.15748031496062992" bottom="0.15748031496062992" header="0.31496062992125984" footer="0.31496062992125984"/>
  <pageSetup paperSize="9" scale="70" fitToHeight="0" orientation="landscape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MO!$B$73:$B$80</xm:f>
          </x14:formula1>
          <xm:sqref>J10:J69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6179-8D33-41E5-8C1C-5CB2BEC5EB5D}">
  <dimension ref="A1:E160"/>
  <sheetViews>
    <sheetView zoomScale="110" zoomScaleNormal="110" workbookViewId="0">
      <selection activeCell="B9" sqref="B9"/>
    </sheetView>
  </sheetViews>
  <sheetFormatPr defaultColWidth="9.140625"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33" t="s">
        <v>36</v>
      </c>
      <c r="D2" s="207">
        <v>0.5</v>
      </c>
      <c r="E2" s="59">
        <f t="shared" ref="E2:E66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34"/>
      <c r="D3" s="207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34"/>
      <c r="D4" s="207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34"/>
      <c r="D5" s="207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34"/>
      <c r="D6" s="207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34"/>
      <c r="D7" s="207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34"/>
      <c r="D8" s="207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34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34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394</v>
      </c>
      <c r="C11" s="234"/>
      <c r="D11" s="58">
        <v>1</v>
      </c>
      <c r="E11" s="59">
        <v>2</v>
      </c>
    </row>
    <row r="12" spans="1:5" ht="12.75" customHeight="1" x14ac:dyDescent="0.25">
      <c r="A12" s="56">
        <v>300510</v>
      </c>
      <c r="B12" s="57" t="s">
        <v>45</v>
      </c>
      <c r="C12" s="234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34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34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34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34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34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34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34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34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34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34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34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34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34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34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34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34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34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34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34"/>
      <c r="D31" s="206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34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34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34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34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34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34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34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34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34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34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34"/>
      <c r="D42" s="58">
        <v>1</v>
      </c>
      <c r="E42" s="59">
        <f t="shared" si="0"/>
        <v>2</v>
      </c>
    </row>
    <row r="43" spans="1:5" ht="12.75" customHeight="1" x14ac:dyDescent="0.25">
      <c r="A43" s="56">
        <v>325125</v>
      </c>
      <c r="B43" s="57" t="s">
        <v>76</v>
      </c>
      <c r="C43" s="234"/>
      <c r="D43" s="58">
        <v>1</v>
      </c>
      <c r="E43" s="59">
        <f t="shared" si="0"/>
        <v>2</v>
      </c>
    </row>
    <row r="44" spans="1:5" ht="12.75" customHeight="1" x14ac:dyDescent="0.25">
      <c r="A44" s="56">
        <v>323104</v>
      </c>
      <c r="B44" s="120" t="s">
        <v>395</v>
      </c>
      <c r="C44" s="234"/>
      <c r="D44" s="58">
        <v>1</v>
      </c>
      <c r="E44" s="59">
        <v>2</v>
      </c>
    </row>
    <row r="45" spans="1:5" ht="12.75" customHeight="1" x14ac:dyDescent="0.25">
      <c r="A45" s="56">
        <v>325020</v>
      </c>
      <c r="B45" s="57" t="s">
        <v>77</v>
      </c>
      <c r="C45" s="234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34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34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34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34"/>
      <c r="D49" s="58">
        <v>1</v>
      </c>
      <c r="E49" s="59">
        <f t="shared" si="0"/>
        <v>2</v>
      </c>
    </row>
    <row r="50" spans="1:5" ht="12.75" customHeight="1" x14ac:dyDescent="0.25">
      <c r="A50" s="56">
        <v>312520</v>
      </c>
      <c r="B50" s="57" t="s">
        <v>83</v>
      </c>
      <c r="C50" s="234"/>
      <c r="D50" s="58">
        <v>0.5</v>
      </c>
      <c r="E50" s="59">
        <f t="shared" si="0"/>
        <v>2</v>
      </c>
    </row>
    <row r="51" spans="1:5" ht="12.75" customHeight="1" x14ac:dyDescent="0.25">
      <c r="A51" s="56">
        <v>322520</v>
      </c>
      <c r="B51" s="57" t="s">
        <v>84</v>
      </c>
      <c r="C51" s="234"/>
      <c r="D51" s="58">
        <v>0.5</v>
      </c>
      <c r="E51" s="59">
        <f t="shared" si="0"/>
        <v>2</v>
      </c>
    </row>
    <row r="52" spans="1:5" ht="12.75" customHeight="1" x14ac:dyDescent="0.25">
      <c r="A52" s="56">
        <v>332520</v>
      </c>
      <c r="B52" s="57" t="s">
        <v>85</v>
      </c>
      <c r="C52" s="234"/>
      <c r="D52" s="58">
        <v>0.5</v>
      </c>
      <c r="E52" s="59">
        <f t="shared" si="0"/>
        <v>2</v>
      </c>
    </row>
    <row r="53" spans="1:5" ht="12.75" customHeight="1" x14ac:dyDescent="0.25">
      <c r="A53" s="56">
        <v>340140</v>
      </c>
      <c r="B53" s="57" t="s">
        <v>86</v>
      </c>
      <c r="C53" s="234"/>
      <c r="D53" s="58">
        <v>1</v>
      </c>
      <c r="E53" s="59">
        <f t="shared" si="0"/>
        <v>2</v>
      </c>
    </row>
    <row r="54" spans="1:5" ht="12.75" customHeight="1" x14ac:dyDescent="0.25">
      <c r="A54" s="56">
        <v>340150</v>
      </c>
      <c r="B54" s="57" t="s">
        <v>87</v>
      </c>
      <c r="C54" s="234"/>
      <c r="D54" s="58">
        <v>0.5</v>
      </c>
      <c r="E54" s="59">
        <f t="shared" si="0"/>
        <v>2</v>
      </c>
    </row>
    <row r="55" spans="1:5" ht="12.75" customHeight="1" x14ac:dyDescent="0.25">
      <c r="A55" s="56">
        <v>345500</v>
      </c>
      <c r="B55" s="57" t="s">
        <v>88</v>
      </c>
      <c r="C55" s="234"/>
      <c r="D55" s="58">
        <v>1</v>
      </c>
      <c r="E55" s="59">
        <f t="shared" si="0"/>
        <v>2</v>
      </c>
    </row>
    <row r="56" spans="1:5" ht="12.75" customHeight="1" x14ac:dyDescent="0.25">
      <c r="A56" s="56">
        <v>340210</v>
      </c>
      <c r="B56" s="57" t="s">
        <v>89</v>
      </c>
      <c r="C56" s="234"/>
      <c r="D56" s="58">
        <v>1</v>
      </c>
      <c r="E56" s="59">
        <f t="shared" si="0"/>
        <v>2</v>
      </c>
    </row>
    <row r="57" spans="1:5" ht="12.75" customHeight="1" x14ac:dyDescent="0.25">
      <c r="A57" s="56">
        <v>340270</v>
      </c>
      <c r="B57" s="57" t="s">
        <v>90</v>
      </c>
      <c r="C57" s="234"/>
      <c r="D57" s="58">
        <v>1</v>
      </c>
      <c r="E57" s="59">
        <f t="shared" si="0"/>
        <v>2</v>
      </c>
    </row>
    <row r="58" spans="1:5" ht="12.75" customHeight="1" x14ac:dyDescent="0.25">
      <c r="A58" s="56">
        <v>340110</v>
      </c>
      <c r="B58" s="57" t="s">
        <v>91</v>
      </c>
      <c r="C58" s="234"/>
      <c r="D58" s="58">
        <v>0.5</v>
      </c>
      <c r="E58" s="59">
        <f>IF(A58=C58,1,2)</f>
        <v>2</v>
      </c>
    </row>
    <row r="59" spans="1:5" ht="12.75" customHeight="1" x14ac:dyDescent="0.25">
      <c r="A59" s="56">
        <v>340620</v>
      </c>
      <c r="B59" s="57" t="s">
        <v>92</v>
      </c>
      <c r="C59" s="234"/>
      <c r="D59" s="58">
        <v>0.5</v>
      </c>
      <c r="E59" s="59">
        <f t="shared" si="0"/>
        <v>2</v>
      </c>
    </row>
    <row r="60" spans="1:5" ht="12.75" customHeight="1" x14ac:dyDescent="0.25">
      <c r="A60" s="56">
        <v>342220</v>
      </c>
      <c r="B60" s="57" t="s">
        <v>93</v>
      </c>
      <c r="C60" s="234"/>
      <c r="D60" s="58">
        <v>0.5</v>
      </c>
      <c r="E60" s="59">
        <f t="shared" si="0"/>
        <v>2</v>
      </c>
    </row>
    <row r="61" spans="1:5" ht="12.75" customHeight="1" x14ac:dyDescent="0.25">
      <c r="A61" s="56">
        <v>340100</v>
      </c>
      <c r="B61" s="57" t="s">
        <v>94</v>
      </c>
      <c r="C61" s="234"/>
      <c r="D61" s="58">
        <v>0.5</v>
      </c>
      <c r="E61" s="59">
        <f t="shared" si="0"/>
        <v>2</v>
      </c>
    </row>
    <row r="62" spans="1:5" ht="12.75" customHeight="1" x14ac:dyDescent="0.25">
      <c r="A62" s="56">
        <v>341840</v>
      </c>
      <c r="B62" s="57" t="s">
        <v>95</v>
      </c>
      <c r="C62" s="234"/>
      <c r="D62" s="58">
        <v>0.5</v>
      </c>
      <c r="E62" s="59">
        <f t="shared" si="0"/>
        <v>2</v>
      </c>
    </row>
    <row r="63" spans="1:5" ht="12.75" customHeight="1" x14ac:dyDescent="0.25">
      <c r="A63" s="56">
        <v>340250</v>
      </c>
      <c r="B63" s="57" t="s">
        <v>96</v>
      </c>
      <c r="C63" s="234"/>
      <c r="D63" s="58">
        <v>0.5</v>
      </c>
      <c r="E63" s="59">
        <f t="shared" si="0"/>
        <v>2</v>
      </c>
    </row>
    <row r="64" spans="1:5" ht="12.75" customHeight="1" x14ac:dyDescent="0.25">
      <c r="A64" s="56">
        <v>341150</v>
      </c>
      <c r="B64" s="57" t="s">
        <v>97</v>
      </c>
      <c r="C64" s="234"/>
      <c r="D64" s="58">
        <v>0.5</v>
      </c>
      <c r="E64" s="59">
        <f t="shared" si="0"/>
        <v>2</v>
      </c>
    </row>
    <row r="65" spans="1:5" ht="12.75" customHeight="1" x14ac:dyDescent="0.25">
      <c r="A65" s="56">
        <v>341680</v>
      </c>
      <c r="B65" s="57" t="s">
        <v>98</v>
      </c>
      <c r="C65" s="234"/>
      <c r="D65" s="58">
        <v>0.5</v>
      </c>
      <c r="E65" s="59">
        <f t="shared" si="0"/>
        <v>2</v>
      </c>
    </row>
    <row r="66" spans="1:5" ht="12.75" customHeight="1" x14ac:dyDescent="0.25">
      <c r="A66" s="56">
        <v>340840</v>
      </c>
      <c r="B66" s="57" t="s">
        <v>99</v>
      </c>
      <c r="C66" s="234"/>
      <c r="D66" s="58">
        <v>0.5</v>
      </c>
      <c r="E66" s="59">
        <f t="shared" si="0"/>
        <v>2</v>
      </c>
    </row>
    <row r="67" spans="1:5" ht="12.75" customHeight="1" x14ac:dyDescent="0.25">
      <c r="A67" s="56">
        <v>300220</v>
      </c>
      <c r="B67" s="57" t="s">
        <v>100</v>
      </c>
      <c r="C67" s="234"/>
      <c r="D67" s="58">
        <v>1</v>
      </c>
      <c r="E67" s="59">
        <f t="shared" ref="E67:E101" si="1">IF(A67=C67,1,2)</f>
        <v>2</v>
      </c>
    </row>
    <row r="68" spans="1:5" ht="12.75" customHeight="1" x14ac:dyDescent="0.25">
      <c r="A68" s="56">
        <v>300100</v>
      </c>
      <c r="B68" s="57" t="s">
        <v>101</v>
      </c>
      <c r="C68" s="234"/>
      <c r="D68" s="58">
        <v>1</v>
      </c>
      <c r="E68" s="59">
        <f t="shared" si="1"/>
        <v>2</v>
      </c>
    </row>
    <row r="69" spans="1:5" ht="12.75" customHeight="1" x14ac:dyDescent="0.25">
      <c r="A69" s="56">
        <v>300200</v>
      </c>
      <c r="B69" s="57" t="s">
        <v>102</v>
      </c>
      <c r="C69" s="234"/>
      <c r="D69" s="58">
        <v>1</v>
      </c>
      <c r="E69" s="59">
        <f t="shared" si="1"/>
        <v>2</v>
      </c>
    </row>
    <row r="70" spans="1:5" ht="12.75" customHeight="1" x14ac:dyDescent="0.25">
      <c r="A70" s="56">
        <v>300210</v>
      </c>
      <c r="B70" s="57" t="s">
        <v>103</v>
      </c>
      <c r="C70" s="234"/>
      <c r="D70" s="58">
        <v>1</v>
      </c>
      <c r="E70" s="59">
        <f t="shared" si="1"/>
        <v>2</v>
      </c>
    </row>
    <row r="71" spans="1:5" ht="12.75" customHeight="1" x14ac:dyDescent="0.25">
      <c r="A71" s="56">
        <v>341000</v>
      </c>
      <c r="B71" s="57" t="s">
        <v>104</v>
      </c>
      <c r="C71" s="234"/>
      <c r="D71" s="58">
        <v>0.5</v>
      </c>
      <c r="E71" s="59">
        <f t="shared" si="1"/>
        <v>2</v>
      </c>
    </row>
    <row r="72" spans="1:5" ht="12.75" customHeight="1" x14ac:dyDescent="0.25">
      <c r="A72" s="56">
        <v>341100</v>
      </c>
      <c r="B72" s="57" t="s">
        <v>105</v>
      </c>
      <c r="C72" s="234"/>
      <c r="D72" s="58">
        <v>0.5</v>
      </c>
      <c r="E72" s="59">
        <f t="shared" si="1"/>
        <v>2</v>
      </c>
    </row>
    <row r="73" spans="1:5" ht="12.75" customHeight="1" x14ac:dyDescent="0.25">
      <c r="A73" s="56">
        <v>341500</v>
      </c>
      <c r="B73" s="57" t="s">
        <v>106</v>
      </c>
      <c r="C73" s="234"/>
      <c r="D73" s="58">
        <v>0.5</v>
      </c>
      <c r="E73" s="59">
        <f t="shared" si="1"/>
        <v>2</v>
      </c>
    </row>
    <row r="74" spans="1:5" ht="12.75" customHeight="1" x14ac:dyDescent="0.25">
      <c r="A74" s="56">
        <v>310650</v>
      </c>
      <c r="B74" s="57" t="s">
        <v>107</v>
      </c>
      <c r="C74" s="234"/>
      <c r="D74" s="58">
        <v>1</v>
      </c>
      <c r="E74" s="59">
        <f t="shared" si="1"/>
        <v>2</v>
      </c>
    </row>
    <row r="75" spans="1:5" ht="12.75" customHeight="1" x14ac:dyDescent="0.25">
      <c r="A75" s="56">
        <v>320650</v>
      </c>
      <c r="B75" s="57" t="s">
        <v>108</v>
      </c>
      <c r="C75" s="234"/>
      <c r="D75" s="58">
        <v>1</v>
      </c>
      <c r="E75" s="59">
        <f t="shared" si="1"/>
        <v>2</v>
      </c>
    </row>
    <row r="76" spans="1:5" ht="12.75" customHeight="1" x14ac:dyDescent="0.25">
      <c r="A76" s="56">
        <v>330650</v>
      </c>
      <c r="B76" s="57" t="s">
        <v>109</v>
      </c>
      <c r="C76" s="234"/>
      <c r="D76" s="58">
        <v>1</v>
      </c>
      <c r="E76" s="59">
        <f t="shared" si="1"/>
        <v>2</v>
      </c>
    </row>
    <row r="77" spans="1:5" ht="12.75" customHeight="1" x14ac:dyDescent="0.25">
      <c r="A77" s="56">
        <v>310080</v>
      </c>
      <c r="B77" s="57" t="s">
        <v>110</v>
      </c>
      <c r="C77" s="234"/>
      <c r="D77" s="58">
        <v>1</v>
      </c>
      <c r="E77" s="59">
        <f t="shared" si="1"/>
        <v>2</v>
      </c>
    </row>
    <row r="78" spans="1:5" ht="12.75" customHeight="1" x14ac:dyDescent="0.25">
      <c r="A78" s="56">
        <v>320080</v>
      </c>
      <c r="B78" s="57" t="s">
        <v>111</v>
      </c>
      <c r="C78" s="234"/>
      <c r="D78" s="58">
        <v>1</v>
      </c>
      <c r="E78" s="59">
        <f t="shared" si="1"/>
        <v>2</v>
      </c>
    </row>
    <row r="79" spans="1:5" ht="12.75" customHeight="1" x14ac:dyDescent="0.25">
      <c r="A79" s="56">
        <v>330080</v>
      </c>
      <c r="B79" s="57" t="s">
        <v>112</v>
      </c>
      <c r="C79" s="234"/>
      <c r="D79" s="58">
        <v>1</v>
      </c>
      <c r="E79" s="59">
        <f t="shared" si="1"/>
        <v>2</v>
      </c>
    </row>
    <row r="80" spans="1:5" ht="12.75" customHeight="1" x14ac:dyDescent="0.25">
      <c r="A80" s="56">
        <v>320700</v>
      </c>
      <c r="B80" s="57" t="s">
        <v>113</v>
      </c>
      <c r="C80" s="234"/>
      <c r="D80" s="58">
        <v>0.5</v>
      </c>
      <c r="E80" s="59">
        <f t="shared" si="1"/>
        <v>2</v>
      </c>
    </row>
    <row r="81" spans="1:5" ht="12.75" customHeight="1" x14ac:dyDescent="0.25">
      <c r="A81" s="56">
        <v>320140</v>
      </c>
      <c r="B81" s="57" t="s">
        <v>114</v>
      </c>
      <c r="C81" s="234"/>
      <c r="D81" s="58">
        <v>1</v>
      </c>
      <c r="E81" s="59">
        <f t="shared" si="1"/>
        <v>2</v>
      </c>
    </row>
    <row r="82" spans="1:5" ht="12.75" customHeight="1" x14ac:dyDescent="0.25">
      <c r="A82" s="56">
        <v>311650</v>
      </c>
      <c r="B82" s="57" t="s">
        <v>115</v>
      </c>
      <c r="C82" s="234"/>
      <c r="D82" s="58">
        <v>0.5</v>
      </c>
      <c r="E82" s="59">
        <f t="shared" si="1"/>
        <v>2</v>
      </c>
    </row>
    <row r="83" spans="1:5" ht="12.75" customHeight="1" x14ac:dyDescent="0.25">
      <c r="A83" s="56">
        <v>321650</v>
      </c>
      <c r="B83" s="57" t="s">
        <v>116</v>
      </c>
      <c r="C83" s="234"/>
      <c r="D83" s="58">
        <v>0.5</v>
      </c>
      <c r="E83" s="59">
        <f t="shared" si="1"/>
        <v>2</v>
      </c>
    </row>
    <row r="84" spans="1:5" ht="12.75" customHeight="1" x14ac:dyDescent="0.25">
      <c r="A84" s="56">
        <v>331650</v>
      </c>
      <c r="B84" s="57" t="s">
        <v>117</v>
      </c>
      <c r="C84" s="234"/>
      <c r="D84" s="58">
        <v>0.5</v>
      </c>
      <c r="E84" s="59">
        <f t="shared" si="1"/>
        <v>2</v>
      </c>
    </row>
    <row r="85" spans="1:5" ht="12.75" customHeight="1" x14ac:dyDescent="0.25">
      <c r="A85" s="56">
        <v>310040</v>
      </c>
      <c r="B85" s="57" t="s">
        <v>118</v>
      </c>
      <c r="C85" s="234"/>
      <c r="D85" s="58">
        <v>0.5</v>
      </c>
      <c r="E85" s="59">
        <f t="shared" si="1"/>
        <v>2</v>
      </c>
    </row>
    <row r="86" spans="1:5" ht="12.75" customHeight="1" x14ac:dyDescent="0.25">
      <c r="A86" s="56">
        <v>320040</v>
      </c>
      <c r="B86" s="57" t="s">
        <v>119</v>
      </c>
      <c r="C86" s="234"/>
      <c r="D86" s="58">
        <v>0.5</v>
      </c>
      <c r="E86" s="59">
        <f t="shared" si="1"/>
        <v>2</v>
      </c>
    </row>
    <row r="87" spans="1:5" ht="12.75" customHeight="1" x14ac:dyDescent="0.25">
      <c r="A87" s="56">
        <v>330040</v>
      </c>
      <c r="B87" s="57" t="s">
        <v>120</v>
      </c>
      <c r="C87" s="234"/>
      <c r="D87" s="58">
        <v>0.5</v>
      </c>
      <c r="E87" s="59">
        <f t="shared" si="1"/>
        <v>2</v>
      </c>
    </row>
    <row r="88" spans="1:5" ht="12.75" customHeight="1" x14ac:dyDescent="0.25">
      <c r="A88" s="56">
        <v>310060</v>
      </c>
      <c r="B88" s="57" t="s">
        <v>121</v>
      </c>
      <c r="C88" s="234"/>
      <c r="D88" s="58">
        <v>0.5</v>
      </c>
      <c r="E88" s="59">
        <f t="shared" si="1"/>
        <v>2</v>
      </c>
    </row>
    <row r="89" spans="1:5" ht="12.75" customHeight="1" x14ac:dyDescent="0.25">
      <c r="A89" s="56">
        <v>320060</v>
      </c>
      <c r="B89" s="57" t="s">
        <v>122</v>
      </c>
      <c r="C89" s="234"/>
      <c r="D89" s="58">
        <v>0.5</v>
      </c>
      <c r="E89" s="59">
        <f t="shared" si="1"/>
        <v>2</v>
      </c>
    </row>
    <row r="90" spans="1:5" ht="12.75" customHeight="1" x14ac:dyDescent="0.25">
      <c r="A90" s="56">
        <v>330060</v>
      </c>
      <c r="B90" s="57" t="s">
        <v>123</v>
      </c>
      <c r="C90" s="234"/>
      <c r="D90" s="58">
        <v>0.5</v>
      </c>
      <c r="E90" s="59">
        <f t="shared" si="1"/>
        <v>2</v>
      </c>
    </row>
    <row r="91" spans="1:5" ht="12.75" customHeight="1" x14ac:dyDescent="0.25">
      <c r="A91" s="56">
        <v>310180</v>
      </c>
      <c r="B91" s="57" t="s">
        <v>124</v>
      </c>
      <c r="C91" s="234"/>
      <c r="D91" s="58">
        <v>1</v>
      </c>
      <c r="E91" s="59">
        <f t="shared" si="1"/>
        <v>2</v>
      </c>
    </row>
    <row r="92" spans="1:5" ht="12.75" customHeight="1" x14ac:dyDescent="0.25">
      <c r="A92" s="56">
        <v>320180</v>
      </c>
      <c r="B92" s="57" t="s">
        <v>125</v>
      </c>
      <c r="C92" s="234"/>
      <c r="D92" s="58">
        <v>1</v>
      </c>
      <c r="E92" s="59">
        <f t="shared" si="1"/>
        <v>2</v>
      </c>
    </row>
    <row r="93" spans="1:5" ht="12.75" customHeight="1" x14ac:dyDescent="0.25">
      <c r="A93" s="56">
        <v>330180</v>
      </c>
      <c r="B93" s="57" t="s">
        <v>126</v>
      </c>
      <c r="C93" s="234"/>
      <c r="D93" s="58">
        <v>1</v>
      </c>
      <c r="E93" s="59">
        <f t="shared" si="1"/>
        <v>2</v>
      </c>
    </row>
    <row r="94" spans="1:5" ht="12.75" customHeight="1" x14ac:dyDescent="0.25">
      <c r="A94" s="56">
        <v>309100</v>
      </c>
      <c r="B94" s="57" t="s">
        <v>127</v>
      </c>
      <c r="C94" s="234"/>
      <c r="D94" s="58">
        <v>4</v>
      </c>
      <c r="E94" s="59">
        <f t="shared" si="1"/>
        <v>2</v>
      </c>
    </row>
    <row r="95" spans="1:5" ht="12.75" customHeight="1" x14ac:dyDescent="0.25">
      <c r="A95" s="56">
        <v>309000</v>
      </c>
      <c r="B95" s="57" t="s">
        <v>128</v>
      </c>
      <c r="C95" s="234"/>
      <c r="D95" s="58">
        <v>1</v>
      </c>
      <c r="E95" s="59">
        <f t="shared" si="1"/>
        <v>2</v>
      </c>
    </row>
    <row r="96" spans="1:5" ht="12.75" customHeight="1" x14ac:dyDescent="0.25">
      <c r="A96" s="56">
        <v>303500</v>
      </c>
      <c r="B96" s="57" t="s">
        <v>129</v>
      </c>
      <c r="C96" s="234"/>
      <c r="D96" s="58">
        <v>2</v>
      </c>
      <c r="E96" s="59">
        <f t="shared" si="1"/>
        <v>2</v>
      </c>
    </row>
    <row r="97" spans="1:5" ht="12.75" customHeight="1" x14ac:dyDescent="0.25">
      <c r="A97" s="56">
        <v>303600</v>
      </c>
      <c r="B97" s="57" t="s">
        <v>130</v>
      </c>
      <c r="C97" s="234"/>
      <c r="D97" s="58">
        <v>2</v>
      </c>
      <c r="E97" s="59">
        <f t="shared" si="1"/>
        <v>2</v>
      </c>
    </row>
    <row r="98" spans="1:5" ht="12.75" customHeight="1" x14ac:dyDescent="0.25">
      <c r="A98" s="56">
        <v>340410</v>
      </c>
      <c r="B98" s="57" t="s">
        <v>131</v>
      </c>
      <c r="C98" s="234"/>
      <c r="D98" s="58">
        <v>0.5</v>
      </c>
      <c r="E98" s="59">
        <f t="shared" si="1"/>
        <v>2</v>
      </c>
    </row>
    <row r="99" spans="1:5" x14ac:dyDescent="0.25">
      <c r="A99" s="56">
        <v>370600</v>
      </c>
      <c r="B99" s="57" t="s">
        <v>132</v>
      </c>
      <c r="C99" s="234"/>
      <c r="D99" s="58">
        <v>0.33</v>
      </c>
      <c r="E99" s="59">
        <f t="shared" si="1"/>
        <v>2</v>
      </c>
    </row>
    <row r="100" spans="1:5" x14ac:dyDescent="0.25">
      <c r="A100" s="56">
        <v>344500</v>
      </c>
      <c r="B100" s="57" t="s">
        <v>133</v>
      </c>
      <c r="C100" s="234"/>
      <c r="D100" s="58">
        <v>0.33</v>
      </c>
      <c r="E100" s="59">
        <f t="shared" si="1"/>
        <v>2</v>
      </c>
    </row>
    <row r="101" spans="1:5" x14ac:dyDescent="0.25">
      <c r="A101" s="56">
        <v>300060</v>
      </c>
      <c r="B101" s="57" t="s">
        <v>134</v>
      </c>
      <c r="C101" s="235"/>
      <c r="D101" s="58">
        <v>1</v>
      </c>
      <c r="E101" s="59">
        <f t="shared" si="1"/>
        <v>2</v>
      </c>
    </row>
    <row r="102" spans="1:5" ht="76.5" x14ac:dyDescent="0.25">
      <c r="A102" s="56">
        <v>304000</v>
      </c>
      <c r="B102" s="57" t="s">
        <v>135</v>
      </c>
      <c r="C102" s="60" t="s">
        <v>136</v>
      </c>
      <c r="D102" s="61">
        <v>1</v>
      </c>
      <c r="E102" s="59">
        <f>IF(A102=C102,1,2)</f>
        <v>2</v>
      </c>
    </row>
    <row r="103" spans="1:5" ht="29.25" customHeight="1" x14ac:dyDescent="0.25">
      <c r="A103" s="56">
        <v>399798</v>
      </c>
      <c r="B103" s="57" t="s">
        <v>459</v>
      </c>
      <c r="C103" s="236" t="str">
        <f>[2]CHP!B212</f>
        <v>Cavalo mecânico com semirreboque com capacidade de 30 t - 265 kW</v>
      </c>
      <c r="D103" s="239">
        <v>1</v>
      </c>
      <c r="E103" s="242">
        <v>2</v>
      </c>
    </row>
    <row r="104" spans="1:5" ht="22.5" customHeight="1" x14ac:dyDescent="0.25">
      <c r="A104" s="56">
        <v>399516</v>
      </c>
      <c r="B104" s="57" t="s">
        <v>460</v>
      </c>
      <c r="C104" s="237"/>
      <c r="D104" s="240"/>
      <c r="E104" s="243"/>
    </row>
    <row r="105" spans="1:5" ht="22.5" customHeight="1" x14ac:dyDescent="0.25">
      <c r="A105" s="56">
        <v>399517</v>
      </c>
      <c r="B105" s="57" t="s">
        <v>460</v>
      </c>
      <c r="C105" s="237"/>
      <c r="D105" s="240"/>
      <c r="E105" s="243"/>
    </row>
    <row r="106" spans="1:5" ht="24" customHeight="1" x14ac:dyDescent="0.25">
      <c r="A106" s="56">
        <v>396920</v>
      </c>
      <c r="B106" s="57" t="s">
        <v>461</v>
      </c>
      <c r="C106" s="238"/>
      <c r="D106" s="241"/>
      <c r="E106" s="244"/>
    </row>
    <row r="107" spans="1:5" x14ac:dyDescent="0.25">
      <c r="A107" s="56">
        <v>304100</v>
      </c>
      <c r="B107" s="57" t="s">
        <v>137</v>
      </c>
      <c r="C107" s="62">
        <v>304100</v>
      </c>
      <c r="D107" s="61">
        <v>1</v>
      </c>
      <c r="E107" s="59">
        <f>IF(A107=C107,1,2)</f>
        <v>1</v>
      </c>
    </row>
    <row r="108" spans="1:5" x14ac:dyDescent="0.25">
      <c r="A108" s="56">
        <v>399502</v>
      </c>
      <c r="B108" s="57" t="s">
        <v>469</v>
      </c>
      <c r="C108" s="62">
        <v>346020</v>
      </c>
      <c r="D108" s="61">
        <v>1</v>
      </c>
      <c r="E108" s="59">
        <v>1</v>
      </c>
    </row>
    <row r="109" spans="1:5" x14ac:dyDescent="0.25">
      <c r="A109" s="56">
        <v>370020</v>
      </c>
      <c r="B109" s="57" t="s">
        <v>138</v>
      </c>
      <c r="C109" s="62">
        <v>370020</v>
      </c>
      <c r="D109" s="61">
        <v>1</v>
      </c>
      <c r="E109" s="59">
        <f t="shared" ref="E109:E160" si="2">IF(A109=C109,1,2)</f>
        <v>1</v>
      </c>
    </row>
    <row r="110" spans="1:5" x14ac:dyDescent="0.25">
      <c r="A110" s="56">
        <v>370030</v>
      </c>
      <c r="B110" s="57" t="s">
        <v>139</v>
      </c>
      <c r="C110" s="62">
        <v>370030</v>
      </c>
      <c r="D110" s="61">
        <v>1</v>
      </c>
      <c r="E110" s="59">
        <f t="shared" si="2"/>
        <v>1</v>
      </c>
    </row>
    <row r="111" spans="1:5" x14ac:dyDescent="0.25">
      <c r="A111" s="56">
        <v>370000</v>
      </c>
      <c r="B111" s="57" t="s">
        <v>140</v>
      </c>
      <c r="C111" s="62">
        <v>370000</v>
      </c>
      <c r="D111" s="61">
        <v>1</v>
      </c>
      <c r="E111" s="59">
        <f t="shared" si="2"/>
        <v>1</v>
      </c>
    </row>
    <row r="112" spans="1:5" x14ac:dyDescent="0.25">
      <c r="A112" s="56">
        <v>370110</v>
      </c>
      <c r="B112" s="57" t="s">
        <v>141</v>
      </c>
      <c r="C112" s="62">
        <v>370110</v>
      </c>
      <c r="D112" s="61">
        <v>1</v>
      </c>
      <c r="E112" s="59">
        <f t="shared" si="2"/>
        <v>1</v>
      </c>
    </row>
    <row r="113" spans="1:5" x14ac:dyDescent="0.25">
      <c r="A113" s="56">
        <v>370160</v>
      </c>
      <c r="B113" s="57" t="s">
        <v>142</v>
      </c>
      <c r="C113" s="62">
        <v>370160</v>
      </c>
      <c r="D113" s="61">
        <v>1</v>
      </c>
      <c r="E113" s="59">
        <f t="shared" si="2"/>
        <v>1</v>
      </c>
    </row>
    <row r="114" spans="1:5" x14ac:dyDescent="0.25">
      <c r="A114" s="56">
        <v>316060</v>
      </c>
      <c r="B114" s="57" t="s">
        <v>143</v>
      </c>
      <c r="C114" s="62">
        <v>316060</v>
      </c>
      <c r="D114" s="61">
        <v>1</v>
      </c>
      <c r="E114" s="59">
        <f t="shared" si="2"/>
        <v>1</v>
      </c>
    </row>
    <row r="115" spans="1:5" x14ac:dyDescent="0.25">
      <c r="A115" s="56">
        <v>313140</v>
      </c>
      <c r="B115" s="57" t="s">
        <v>144</v>
      </c>
      <c r="C115" s="62">
        <v>313140</v>
      </c>
      <c r="D115" s="61">
        <v>1</v>
      </c>
      <c r="E115" s="59">
        <f t="shared" si="2"/>
        <v>1</v>
      </c>
    </row>
    <row r="116" spans="1:5" x14ac:dyDescent="0.25">
      <c r="A116" s="56">
        <v>323140</v>
      </c>
      <c r="B116" s="57" t="s">
        <v>145</v>
      </c>
      <c r="C116" s="62">
        <v>323140</v>
      </c>
      <c r="D116" s="61">
        <v>1</v>
      </c>
      <c r="E116" s="59">
        <f t="shared" si="2"/>
        <v>1</v>
      </c>
    </row>
    <row r="117" spans="1:5" x14ac:dyDescent="0.25">
      <c r="A117" s="56">
        <v>333140</v>
      </c>
      <c r="B117" s="57" t="s">
        <v>146</v>
      </c>
      <c r="C117" s="62">
        <v>333140</v>
      </c>
      <c r="D117" s="61">
        <v>1</v>
      </c>
      <c r="E117" s="59">
        <f t="shared" si="2"/>
        <v>1</v>
      </c>
    </row>
    <row r="118" spans="1:5" x14ac:dyDescent="0.25">
      <c r="A118" s="56">
        <v>300110</v>
      </c>
      <c r="B118" s="57" t="s">
        <v>147</v>
      </c>
      <c r="C118" s="62">
        <v>300110</v>
      </c>
      <c r="D118" s="61">
        <v>1</v>
      </c>
      <c r="E118" s="59">
        <f t="shared" si="2"/>
        <v>1</v>
      </c>
    </row>
    <row r="119" spans="1:5" x14ac:dyDescent="0.25">
      <c r="A119" s="56">
        <v>370060</v>
      </c>
      <c r="B119" s="57" t="s">
        <v>148</v>
      </c>
      <c r="C119" s="62">
        <v>370060</v>
      </c>
      <c r="D119" s="61">
        <v>1</v>
      </c>
      <c r="E119" s="59">
        <f t="shared" si="2"/>
        <v>1</v>
      </c>
    </row>
    <row r="120" spans="1:5" x14ac:dyDescent="0.25">
      <c r="A120" s="56">
        <v>370070</v>
      </c>
      <c r="B120" s="57" t="s">
        <v>149</v>
      </c>
      <c r="C120" s="62">
        <v>370070</v>
      </c>
      <c r="D120" s="61">
        <v>1</v>
      </c>
      <c r="E120" s="59">
        <f t="shared" si="2"/>
        <v>1</v>
      </c>
    </row>
    <row r="121" spans="1:5" x14ac:dyDescent="0.25">
      <c r="A121" s="56">
        <v>370080</v>
      </c>
      <c r="B121" s="57" t="s">
        <v>150</v>
      </c>
      <c r="C121" s="62">
        <v>370080</v>
      </c>
      <c r="D121" s="61">
        <v>1</v>
      </c>
      <c r="E121" s="59">
        <f t="shared" si="2"/>
        <v>1</v>
      </c>
    </row>
    <row r="122" spans="1:5" x14ac:dyDescent="0.25">
      <c r="A122" s="56">
        <v>306000</v>
      </c>
      <c r="B122" s="57" t="s">
        <v>151</v>
      </c>
      <c r="C122" s="62">
        <v>306000</v>
      </c>
      <c r="D122" s="61">
        <v>1</v>
      </c>
      <c r="E122" s="59">
        <f t="shared" si="2"/>
        <v>1</v>
      </c>
    </row>
    <row r="123" spans="1:5" x14ac:dyDescent="0.25">
      <c r="A123" s="56">
        <v>321800</v>
      </c>
      <c r="B123" s="57" t="s">
        <v>152</v>
      </c>
      <c r="C123" s="62">
        <v>321800</v>
      </c>
      <c r="D123" s="61">
        <v>1</v>
      </c>
      <c r="E123" s="59">
        <f t="shared" si="2"/>
        <v>1</v>
      </c>
    </row>
    <row r="124" spans="1:5" x14ac:dyDescent="0.25">
      <c r="A124" s="56">
        <v>321810</v>
      </c>
      <c r="B124" s="57" t="s">
        <v>153</v>
      </c>
      <c r="C124" s="62">
        <v>321810</v>
      </c>
      <c r="D124" s="61">
        <v>1</v>
      </c>
      <c r="E124" s="59">
        <f t="shared" si="2"/>
        <v>1</v>
      </c>
    </row>
    <row r="125" spans="1:5" x14ac:dyDescent="0.25">
      <c r="A125" s="56">
        <v>321820</v>
      </c>
      <c r="B125" s="57" t="s">
        <v>154</v>
      </c>
      <c r="C125" s="62">
        <v>321820</v>
      </c>
      <c r="D125" s="61">
        <v>1</v>
      </c>
      <c r="E125" s="59">
        <f t="shared" si="2"/>
        <v>1</v>
      </c>
    </row>
    <row r="126" spans="1:5" x14ac:dyDescent="0.25">
      <c r="A126" s="56">
        <v>300130</v>
      </c>
      <c r="B126" s="57" t="s">
        <v>155</v>
      </c>
      <c r="C126" s="62">
        <v>300130</v>
      </c>
      <c r="D126" s="61">
        <v>1</v>
      </c>
      <c r="E126" s="59">
        <f t="shared" si="2"/>
        <v>1</v>
      </c>
    </row>
    <row r="127" spans="1:5" x14ac:dyDescent="0.25">
      <c r="A127" s="56">
        <v>340320</v>
      </c>
      <c r="B127" s="57" t="s">
        <v>156</v>
      </c>
      <c r="C127" s="62">
        <v>340320</v>
      </c>
      <c r="D127" s="61">
        <v>1</v>
      </c>
      <c r="E127" s="59">
        <f t="shared" si="2"/>
        <v>1</v>
      </c>
    </row>
    <row r="128" spans="1:5" x14ac:dyDescent="0.25">
      <c r="A128" s="56">
        <v>346000</v>
      </c>
      <c r="B128" s="57" t="s">
        <v>157</v>
      </c>
      <c r="C128" s="62">
        <v>346000</v>
      </c>
      <c r="D128" s="61">
        <v>1</v>
      </c>
      <c r="E128" s="59">
        <f t="shared" si="2"/>
        <v>1</v>
      </c>
    </row>
    <row r="129" spans="1:5" x14ac:dyDescent="0.25">
      <c r="A129" s="56">
        <v>326280</v>
      </c>
      <c r="B129" s="57" t="s">
        <v>158</v>
      </c>
      <c r="C129" s="62">
        <v>326280</v>
      </c>
      <c r="D129" s="61">
        <v>1</v>
      </c>
      <c r="E129" s="59">
        <f t="shared" si="2"/>
        <v>1</v>
      </c>
    </row>
    <row r="130" spans="1:5" x14ac:dyDescent="0.25">
      <c r="A130" s="56">
        <v>336090</v>
      </c>
      <c r="B130" s="57" t="s">
        <v>159</v>
      </c>
      <c r="C130" s="62">
        <v>336090</v>
      </c>
      <c r="D130" s="61">
        <v>1</v>
      </c>
      <c r="E130" s="59">
        <f t="shared" si="2"/>
        <v>1</v>
      </c>
    </row>
    <row r="131" spans="1:5" x14ac:dyDescent="0.25">
      <c r="A131" s="56">
        <v>346070</v>
      </c>
      <c r="B131" s="57" t="s">
        <v>160</v>
      </c>
      <c r="C131" s="62">
        <v>346070</v>
      </c>
      <c r="D131" s="61">
        <v>1</v>
      </c>
      <c r="E131" s="59">
        <f t="shared" si="2"/>
        <v>1</v>
      </c>
    </row>
    <row r="132" spans="1:5" x14ac:dyDescent="0.25">
      <c r="A132" s="56">
        <v>340030</v>
      </c>
      <c r="B132" s="173" t="s">
        <v>452</v>
      </c>
      <c r="C132" s="62">
        <v>340030</v>
      </c>
      <c r="D132" s="61">
        <v>1</v>
      </c>
      <c r="E132" s="59">
        <v>1</v>
      </c>
    </row>
    <row r="133" spans="1:5" x14ac:dyDescent="0.25">
      <c r="A133" s="56">
        <v>370700</v>
      </c>
      <c r="B133" s="57" t="s">
        <v>161</v>
      </c>
      <c r="C133" s="62">
        <v>370700</v>
      </c>
      <c r="D133" s="61">
        <v>1</v>
      </c>
      <c r="E133" s="59">
        <f t="shared" si="2"/>
        <v>1</v>
      </c>
    </row>
    <row r="134" spans="1:5" x14ac:dyDescent="0.25">
      <c r="A134" s="56">
        <v>370440</v>
      </c>
      <c r="B134" s="57" t="s">
        <v>162</v>
      </c>
      <c r="C134" s="62">
        <v>370440</v>
      </c>
      <c r="D134" s="61">
        <v>1</v>
      </c>
      <c r="E134" s="59">
        <f t="shared" si="2"/>
        <v>1</v>
      </c>
    </row>
    <row r="135" spans="1:5" x14ac:dyDescent="0.25">
      <c r="A135" s="56">
        <v>322140</v>
      </c>
      <c r="B135" s="57" t="s">
        <v>163</v>
      </c>
      <c r="C135" s="62">
        <v>322140</v>
      </c>
      <c r="D135" s="61">
        <v>1</v>
      </c>
      <c r="E135" s="59">
        <f t="shared" si="2"/>
        <v>1</v>
      </c>
    </row>
    <row r="136" spans="1:5" x14ac:dyDescent="0.25">
      <c r="A136" s="56">
        <v>313180</v>
      </c>
      <c r="B136" s="57" t="s">
        <v>164</v>
      </c>
      <c r="C136" s="62">
        <v>313180</v>
      </c>
      <c r="D136" s="61">
        <v>1</v>
      </c>
      <c r="E136" s="59">
        <f t="shared" si="2"/>
        <v>1</v>
      </c>
    </row>
    <row r="137" spans="1:5" x14ac:dyDescent="0.25">
      <c r="A137" s="56">
        <v>323180</v>
      </c>
      <c r="B137" s="57" t="s">
        <v>165</v>
      </c>
      <c r="C137" s="62">
        <v>323180</v>
      </c>
      <c r="D137" s="61">
        <v>1</v>
      </c>
      <c r="E137" s="59">
        <f t="shared" si="2"/>
        <v>1</v>
      </c>
    </row>
    <row r="138" spans="1:5" x14ac:dyDescent="0.25">
      <c r="A138" s="56">
        <v>333180</v>
      </c>
      <c r="B138" s="57" t="s">
        <v>166</v>
      </c>
      <c r="C138" s="62">
        <v>333180</v>
      </c>
      <c r="D138" s="61">
        <v>1</v>
      </c>
      <c r="E138" s="59">
        <f t="shared" si="2"/>
        <v>1</v>
      </c>
    </row>
    <row r="139" spans="1:5" x14ac:dyDescent="0.25">
      <c r="A139" s="56">
        <v>323514</v>
      </c>
      <c r="B139" s="57" t="s">
        <v>453</v>
      </c>
      <c r="C139" s="62">
        <v>323514</v>
      </c>
      <c r="D139" s="61">
        <v>1</v>
      </c>
      <c r="E139" s="59">
        <v>1</v>
      </c>
    </row>
    <row r="140" spans="1:5" x14ac:dyDescent="0.25">
      <c r="A140" s="56">
        <v>370150</v>
      </c>
      <c r="B140" s="57" t="s">
        <v>167</v>
      </c>
      <c r="C140" s="62">
        <v>370150</v>
      </c>
      <c r="D140" s="61">
        <v>1</v>
      </c>
      <c r="E140" s="59">
        <f t="shared" si="2"/>
        <v>1</v>
      </c>
    </row>
    <row r="141" spans="1:5" x14ac:dyDescent="0.25">
      <c r="A141" s="56">
        <v>300140</v>
      </c>
      <c r="B141" s="57" t="s">
        <v>168</v>
      </c>
      <c r="C141" s="62">
        <v>300140</v>
      </c>
      <c r="D141" s="61">
        <v>1</v>
      </c>
      <c r="E141" s="59">
        <f t="shared" si="2"/>
        <v>1</v>
      </c>
    </row>
    <row r="142" spans="1:5" x14ac:dyDescent="0.25">
      <c r="A142" s="56">
        <v>300170</v>
      </c>
      <c r="B142" s="57" t="s">
        <v>169</v>
      </c>
      <c r="C142" s="62">
        <v>300170</v>
      </c>
      <c r="D142" s="61">
        <v>1</v>
      </c>
      <c r="E142" s="59">
        <f t="shared" si="2"/>
        <v>1</v>
      </c>
    </row>
    <row r="143" spans="1:5" x14ac:dyDescent="0.25">
      <c r="A143" s="56">
        <v>346020</v>
      </c>
      <c r="B143" s="57" t="s">
        <v>170</v>
      </c>
      <c r="C143" s="62">
        <v>346020</v>
      </c>
      <c r="D143" s="61">
        <v>1</v>
      </c>
      <c r="E143" s="59">
        <f t="shared" si="2"/>
        <v>1</v>
      </c>
    </row>
    <row r="144" spans="1:5" x14ac:dyDescent="0.25">
      <c r="A144" s="56">
        <v>346080</v>
      </c>
      <c r="B144" s="57" t="s">
        <v>171</v>
      </c>
      <c r="C144" s="62">
        <v>346080</v>
      </c>
      <c r="D144" s="61">
        <v>1</v>
      </c>
      <c r="E144" s="59">
        <f t="shared" si="2"/>
        <v>1</v>
      </c>
    </row>
    <row r="145" spans="1:5" x14ac:dyDescent="0.25">
      <c r="A145" s="56">
        <v>370400</v>
      </c>
      <c r="B145" s="57" t="s">
        <v>172</v>
      </c>
      <c r="C145" s="62">
        <v>370400</v>
      </c>
      <c r="D145" s="61">
        <v>1</v>
      </c>
      <c r="E145" s="59">
        <f t="shared" si="2"/>
        <v>1</v>
      </c>
    </row>
    <row r="146" spans="1:5" x14ac:dyDescent="0.25">
      <c r="A146" s="56">
        <v>300010</v>
      </c>
      <c r="B146" s="57" t="s">
        <v>173</v>
      </c>
      <c r="C146" s="62">
        <v>300010</v>
      </c>
      <c r="D146" s="61">
        <v>1</v>
      </c>
      <c r="E146" s="59">
        <f t="shared" si="2"/>
        <v>1</v>
      </c>
    </row>
    <row r="147" spans="1:5" x14ac:dyDescent="0.25">
      <c r="A147" s="56">
        <v>346220</v>
      </c>
      <c r="B147" s="57" t="s">
        <v>174</v>
      </c>
      <c r="C147" s="62">
        <v>346220</v>
      </c>
      <c r="D147" s="61">
        <v>1</v>
      </c>
      <c r="E147" s="59">
        <f t="shared" si="2"/>
        <v>1</v>
      </c>
    </row>
    <row r="148" spans="1:5" x14ac:dyDescent="0.25">
      <c r="A148" s="56">
        <v>316000</v>
      </c>
      <c r="B148" s="57" t="s">
        <v>175</v>
      </c>
      <c r="C148" s="62">
        <v>316000</v>
      </c>
      <c r="D148" s="61">
        <v>1</v>
      </c>
      <c r="E148" s="59">
        <f t="shared" si="2"/>
        <v>1</v>
      </c>
    </row>
    <row r="149" spans="1:5" x14ac:dyDescent="0.25">
      <c r="A149" s="56">
        <v>370040</v>
      </c>
      <c r="B149" s="57" t="s">
        <v>176</v>
      </c>
      <c r="C149" s="63">
        <v>370040</v>
      </c>
      <c r="D149" s="61">
        <v>1</v>
      </c>
      <c r="E149" s="59">
        <f t="shared" si="2"/>
        <v>1</v>
      </c>
    </row>
    <row r="150" spans="1:5" x14ac:dyDescent="0.25">
      <c r="A150" s="56">
        <v>346050</v>
      </c>
      <c r="B150" s="57" t="s">
        <v>177</v>
      </c>
      <c r="C150" s="62">
        <v>346050</v>
      </c>
      <c r="D150" s="61">
        <v>1</v>
      </c>
      <c r="E150" s="59">
        <f t="shared" si="2"/>
        <v>1</v>
      </c>
    </row>
    <row r="151" spans="1:5" x14ac:dyDescent="0.25">
      <c r="A151" s="56">
        <v>342300</v>
      </c>
      <c r="B151" s="57" t="s">
        <v>178</v>
      </c>
      <c r="C151" s="62">
        <v>342300</v>
      </c>
      <c r="D151" s="61">
        <v>1</v>
      </c>
      <c r="E151" s="59">
        <f t="shared" si="2"/>
        <v>1</v>
      </c>
    </row>
    <row r="152" spans="1:5" x14ac:dyDescent="0.25">
      <c r="A152" s="56">
        <v>346010</v>
      </c>
      <c r="B152" s="57" t="s">
        <v>179</v>
      </c>
      <c r="C152" s="62">
        <v>346010</v>
      </c>
      <c r="D152" s="61">
        <v>1</v>
      </c>
      <c r="E152" s="59">
        <f t="shared" si="2"/>
        <v>1</v>
      </c>
    </row>
    <row r="153" spans="1:5" x14ac:dyDescent="0.25">
      <c r="A153" s="56">
        <v>341800</v>
      </c>
      <c r="B153" s="57" t="s">
        <v>180</v>
      </c>
      <c r="C153" s="62">
        <v>341800</v>
      </c>
      <c r="D153" s="61">
        <v>1</v>
      </c>
      <c r="E153" s="59">
        <f t="shared" si="2"/>
        <v>1</v>
      </c>
    </row>
    <row r="154" spans="1:5" x14ac:dyDescent="0.25">
      <c r="A154" s="56">
        <v>343800</v>
      </c>
      <c r="B154" s="57" t="s">
        <v>181</v>
      </c>
      <c r="C154" s="62">
        <v>343800</v>
      </c>
      <c r="D154" s="61">
        <v>1</v>
      </c>
      <c r="E154" s="59">
        <f t="shared" si="2"/>
        <v>1</v>
      </c>
    </row>
    <row r="155" spans="1:5" x14ac:dyDescent="0.25">
      <c r="A155" s="56">
        <v>346090</v>
      </c>
      <c r="B155" s="57" t="s">
        <v>182</v>
      </c>
      <c r="C155" s="62">
        <v>346090</v>
      </c>
      <c r="D155" s="61">
        <v>1</v>
      </c>
      <c r="E155" s="59">
        <f t="shared" si="2"/>
        <v>1</v>
      </c>
    </row>
    <row r="156" spans="1:5" x14ac:dyDescent="0.25">
      <c r="A156" s="56">
        <v>346030</v>
      </c>
      <c r="B156" s="57" t="s">
        <v>183</v>
      </c>
      <c r="C156" s="62">
        <v>346030</v>
      </c>
      <c r="D156" s="61">
        <v>1</v>
      </c>
      <c r="E156" s="59">
        <f t="shared" si="2"/>
        <v>1</v>
      </c>
    </row>
    <row r="157" spans="1:5" x14ac:dyDescent="0.25">
      <c r="A157" s="56">
        <v>346060</v>
      </c>
      <c r="B157" s="57" t="s">
        <v>184</v>
      </c>
      <c r="C157" s="62">
        <v>346060</v>
      </c>
      <c r="D157" s="61">
        <v>1</v>
      </c>
      <c r="E157" s="59">
        <f t="shared" si="2"/>
        <v>1</v>
      </c>
    </row>
    <row r="158" spans="1:5" x14ac:dyDescent="0.25">
      <c r="A158" s="56">
        <v>370100</v>
      </c>
      <c r="B158" s="57" t="s">
        <v>185</v>
      </c>
      <c r="C158" s="62">
        <v>370100</v>
      </c>
      <c r="D158" s="61">
        <v>1</v>
      </c>
      <c r="E158" s="59">
        <f t="shared" si="2"/>
        <v>1</v>
      </c>
    </row>
    <row r="159" spans="1:5" x14ac:dyDescent="0.25">
      <c r="A159" s="56">
        <v>370140</v>
      </c>
      <c r="B159" s="57" t="s">
        <v>186</v>
      </c>
      <c r="C159" s="62">
        <v>370140</v>
      </c>
      <c r="D159" s="61">
        <v>1</v>
      </c>
      <c r="E159" s="59">
        <f t="shared" si="2"/>
        <v>1</v>
      </c>
    </row>
    <row r="160" spans="1:5" x14ac:dyDescent="0.25">
      <c r="A160" s="56">
        <v>300030</v>
      </c>
      <c r="B160" s="57" t="s">
        <v>187</v>
      </c>
      <c r="C160" s="62">
        <v>300030</v>
      </c>
      <c r="D160" s="61">
        <v>1</v>
      </c>
      <c r="E160" s="59">
        <f t="shared" si="2"/>
        <v>1</v>
      </c>
    </row>
  </sheetData>
  <mergeCells count="4">
    <mergeCell ref="C2:C101"/>
    <mergeCell ref="C103:C106"/>
    <mergeCell ref="D103:D106"/>
    <mergeCell ref="E103:E10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DMT</vt:lpstr>
      <vt:lpstr>DER-PR_FU</vt:lpstr>
      <vt:lpstr>Transporte - FU</vt:lpstr>
      <vt:lpstr>CHP</vt:lpstr>
      <vt:lpstr>MD_EQ</vt:lpstr>
      <vt:lpstr>MO</vt:lpstr>
      <vt:lpstr>MD_MO</vt:lpstr>
      <vt:lpstr>DER-PR_FU (2)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2024-06-27T18:42:39Z</cp:lastPrinted>
  <dcterms:created xsi:type="dcterms:W3CDTF">2021-05-20T12:53:18Z</dcterms:created>
  <dcterms:modified xsi:type="dcterms:W3CDTF">2025-10-31T19:55:44Z</dcterms:modified>
</cp:coreProperties>
</file>